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C:\Users\pjbi002\Box\Documents_PC\IRA\2023 BPEA IRA\"/>
    </mc:Choice>
  </mc:AlternateContent>
  <xr:revisionPtr revIDLastSave="0" documentId="13_ncr:1_{BCF9AF15-522C-499F-B70C-A2E19D77CA2A}" xr6:coauthVersionLast="47" xr6:coauthVersionMax="47" xr10:uidLastSave="{00000000-0000-0000-0000-000000000000}"/>
  <bookViews>
    <workbookView xWindow="-110" yWindow="-110" windowWidth="38620" windowHeight="21220" firstSheet="7" activeTab="10" xr2:uid="{00000000-000D-0000-FFFF-FFFF00000000}"/>
  </bookViews>
  <sheets>
    <sheet name="Economy - IRA" sheetId="1" r:id="rId1"/>
    <sheet name="Economy - No IRA" sheetId="12" r:id="rId2"/>
    <sheet name="Tax Credit Figure" sheetId="13" r:id="rId3"/>
    <sheet name="Tax Credit Figure (Nominal)" sheetId="14" r:id="rId4"/>
    <sheet name="Tax Credit Figure (Low)" sheetId="16" r:id="rId5"/>
    <sheet name="Tax Credit Figure (High)" sheetId="15" r:id="rId6"/>
    <sheet name="Tax Cred Summary" sheetId="17" r:id="rId7"/>
    <sheet name="Power - Tax Credits" sheetId="7" r:id="rId8"/>
    <sheet name="Power - Decomp" sheetId="9" r:id="rId9"/>
    <sheet name="Power - Decomp (Low)" sheetId="18" r:id="rId10"/>
    <sheet name="Power - Decomp (High)" sheetId="19" r:id="rId11"/>
    <sheet name="HH - Buildings" sheetId="10" r:id="rId12"/>
    <sheet name="HH - Vehicles" sheetId="11" r:id="rId13"/>
    <sheet name="GDPDEF_Annual" sheetId="8" r:id="rId14"/>
  </sheets>
  <externalReferences>
    <externalReference r:id="rId1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19" i="19" l="1"/>
  <c r="U26" i="19" s="1"/>
  <c r="W20" i="19"/>
  <c r="U27" i="19" s="1"/>
  <c r="W21" i="19"/>
  <c r="U28" i="19" s="1"/>
  <c r="W22" i="19"/>
  <c r="U29" i="19" s="1"/>
  <c r="W18" i="19"/>
  <c r="U25" i="19" s="1"/>
  <c r="W19" i="18"/>
  <c r="U26" i="18" s="1"/>
  <c r="W20" i="18"/>
  <c r="W21" i="18"/>
  <c r="U28" i="18" s="1"/>
  <c r="W22" i="18"/>
  <c r="U29" i="18" s="1"/>
  <c r="W18" i="18"/>
  <c r="U25" i="18" s="1"/>
  <c r="V22" i="19"/>
  <c r="V21" i="19"/>
  <c r="V20" i="19"/>
  <c r="V19" i="19"/>
  <c r="V18" i="19"/>
  <c r="U27" i="18"/>
  <c r="V22" i="18"/>
  <c r="V21" i="18"/>
  <c r="V20" i="18"/>
  <c r="V19" i="18"/>
  <c r="V18" i="18"/>
  <c r="U28" i="9"/>
  <c r="W19" i="9"/>
  <c r="U26" i="9" s="1"/>
  <c r="W20" i="9"/>
  <c r="U27" i="9" s="1"/>
  <c r="W21" i="9"/>
  <c r="W22" i="9"/>
  <c r="U29" i="9" s="1"/>
  <c r="W18" i="9"/>
  <c r="U25" i="9" s="1"/>
  <c r="V19" i="9"/>
  <c r="V20" i="9"/>
  <c r="V21" i="9"/>
  <c r="V22" i="9"/>
  <c r="V18" i="9"/>
  <c r="S29" i="19" l="1"/>
  <c r="R29" i="19"/>
  <c r="S28" i="19"/>
  <c r="R28" i="19"/>
  <c r="S27" i="19"/>
  <c r="R27" i="19"/>
  <c r="S26" i="19"/>
  <c r="R26" i="19"/>
  <c r="S25" i="19"/>
  <c r="R25" i="19"/>
  <c r="F29" i="19"/>
  <c r="E29" i="19"/>
  <c r="D29" i="19"/>
  <c r="C29" i="19"/>
  <c r="B29" i="19"/>
  <c r="A29" i="19"/>
  <c r="F28" i="19"/>
  <c r="E28" i="19"/>
  <c r="D28" i="19"/>
  <c r="C28" i="19"/>
  <c r="B28" i="19"/>
  <c r="A28" i="19"/>
  <c r="F27" i="19"/>
  <c r="E27" i="19"/>
  <c r="D27" i="19"/>
  <c r="C27" i="19"/>
  <c r="B27" i="19"/>
  <c r="A27" i="19"/>
  <c r="F26" i="19"/>
  <c r="E26" i="19"/>
  <c r="D26" i="19"/>
  <c r="C26" i="19"/>
  <c r="B26" i="19"/>
  <c r="A26" i="19"/>
  <c r="H25" i="19"/>
  <c r="D25" i="19" s="1"/>
  <c r="F25" i="19"/>
  <c r="E25" i="19"/>
  <c r="F29" i="18"/>
  <c r="E29" i="18"/>
  <c r="S29" i="18" s="1"/>
  <c r="D29" i="18"/>
  <c r="C29" i="18"/>
  <c r="B29" i="18"/>
  <c r="A29" i="18"/>
  <c r="F28" i="18"/>
  <c r="E28" i="18"/>
  <c r="D28" i="18"/>
  <c r="C28" i="18"/>
  <c r="B28" i="18"/>
  <c r="A28" i="18"/>
  <c r="F27" i="18"/>
  <c r="E27" i="18"/>
  <c r="D27" i="18"/>
  <c r="C27" i="18"/>
  <c r="B27" i="18"/>
  <c r="S27" i="18" s="1"/>
  <c r="A27" i="18"/>
  <c r="F26" i="18"/>
  <c r="E26" i="18"/>
  <c r="D26" i="18"/>
  <c r="C26" i="18"/>
  <c r="B26" i="18"/>
  <c r="A26" i="18"/>
  <c r="H25" i="18"/>
  <c r="E25" i="18" s="1"/>
  <c r="F25" i="18"/>
  <c r="R29" i="18"/>
  <c r="S28" i="18"/>
  <c r="R28" i="18"/>
  <c r="R27" i="18"/>
  <c r="S26" i="18"/>
  <c r="R26" i="18"/>
  <c r="R25" i="18"/>
  <c r="S26" i="9"/>
  <c r="S27" i="9"/>
  <c r="S28" i="9"/>
  <c r="S29" i="9"/>
  <c r="S25" i="9"/>
  <c r="R26" i="9"/>
  <c r="R27" i="9"/>
  <c r="R28" i="9"/>
  <c r="R29" i="9"/>
  <c r="R25" i="9"/>
  <c r="S18" i="9"/>
  <c r="A26" i="9"/>
  <c r="B26" i="9"/>
  <c r="C26" i="9"/>
  <c r="D26" i="9"/>
  <c r="E26" i="9"/>
  <c r="F26" i="9"/>
  <c r="A27" i="9"/>
  <c r="B27" i="9"/>
  <c r="C27" i="9"/>
  <c r="D27" i="9"/>
  <c r="E27" i="9"/>
  <c r="F27" i="9"/>
  <c r="A28" i="9"/>
  <c r="B28" i="9"/>
  <c r="C28" i="9"/>
  <c r="D28" i="9"/>
  <c r="E28" i="9"/>
  <c r="F28" i="9"/>
  <c r="A29" i="9"/>
  <c r="B29" i="9"/>
  <c r="C29" i="9"/>
  <c r="D29" i="9"/>
  <c r="E29" i="9"/>
  <c r="F29" i="9"/>
  <c r="B25" i="9"/>
  <c r="C25" i="9"/>
  <c r="D25" i="9"/>
  <c r="E25" i="9"/>
  <c r="F25" i="9"/>
  <c r="A25" i="9"/>
  <c r="H25" i="9"/>
  <c r="L15" i="12"/>
  <c r="M15" i="12"/>
  <c r="N15" i="12"/>
  <c r="O15" i="12"/>
  <c r="P15" i="12"/>
  <c r="Q15" i="12"/>
  <c r="K15" i="12"/>
  <c r="L15" i="1"/>
  <c r="M15" i="1"/>
  <c r="N15" i="1"/>
  <c r="O15" i="1"/>
  <c r="P15" i="1"/>
  <c r="Q15" i="1"/>
  <c r="K15" i="1"/>
  <c r="A25" i="19" l="1"/>
  <c r="B25" i="19"/>
  <c r="C25" i="19"/>
  <c r="A25" i="18"/>
  <c r="D25" i="18"/>
  <c r="B25" i="18"/>
  <c r="C25" i="18"/>
  <c r="T19" i="19"/>
  <c r="T26" i="19" s="1"/>
  <c r="S19" i="19"/>
  <c r="U14" i="19"/>
  <c r="V14" i="19"/>
  <c r="W14" i="19"/>
  <c r="X14" i="19"/>
  <c r="T14" i="19"/>
  <c r="T25" i="19" l="1"/>
  <c r="T28" i="19"/>
  <c r="T29" i="19"/>
  <c r="T27" i="19"/>
  <c r="S25" i="18"/>
  <c r="J43" i="19"/>
  <c r="J42" i="19"/>
  <c r="J41" i="19"/>
  <c r="J40" i="19"/>
  <c r="J39" i="19"/>
  <c r="V10" i="19"/>
  <c r="U10" i="19"/>
  <c r="P10" i="19"/>
  <c r="O10" i="19"/>
  <c r="N10" i="19"/>
  <c r="M10" i="19"/>
  <c r="L10" i="19"/>
  <c r="K10" i="19"/>
  <c r="J10" i="19"/>
  <c r="R10" i="19" s="1"/>
  <c r="H10" i="19"/>
  <c r="G10" i="19"/>
  <c r="W10" i="19" s="1"/>
  <c r="F10" i="19"/>
  <c r="E10" i="19"/>
  <c r="D10" i="19"/>
  <c r="T10" i="19" s="1"/>
  <c r="C10" i="19"/>
  <c r="B10" i="19"/>
  <c r="R9" i="19"/>
  <c r="P9" i="19"/>
  <c r="O9" i="19"/>
  <c r="N9" i="19"/>
  <c r="M9" i="19"/>
  <c r="L9" i="19"/>
  <c r="K9" i="19"/>
  <c r="S9" i="19" s="1"/>
  <c r="J9" i="19"/>
  <c r="H9" i="19"/>
  <c r="G9" i="19"/>
  <c r="W9" i="19" s="1"/>
  <c r="F9" i="19"/>
  <c r="V9" i="19" s="1"/>
  <c r="E9" i="19"/>
  <c r="U9" i="19" s="1"/>
  <c r="D9" i="19"/>
  <c r="T9" i="19" s="1"/>
  <c r="C9" i="19"/>
  <c r="B9" i="19"/>
  <c r="X8" i="19"/>
  <c r="V8" i="19"/>
  <c r="P8" i="19"/>
  <c r="O8" i="19"/>
  <c r="N8" i="19"/>
  <c r="M8" i="19"/>
  <c r="L8" i="19"/>
  <c r="K8" i="19"/>
  <c r="J8" i="19"/>
  <c r="R8" i="19" s="1"/>
  <c r="H8" i="19"/>
  <c r="G8" i="19"/>
  <c r="W8" i="19" s="1"/>
  <c r="F8" i="19"/>
  <c r="E8" i="19"/>
  <c r="U8" i="19" s="1"/>
  <c r="D8" i="19"/>
  <c r="C8" i="19"/>
  <c r="S8" i="19" s="1"/>
  <c r="B8" i="19"/>
  <c r="P7" i="19"/>
  <c r="O7" i="19"/>
  <c r="N7" i="19"/>
  <c r="M7" i="19"/>
  <c r="L7" i="19"/>
  <c r="T7" i="19" s="1"/>
  <c r="K7" i="19"/>
  <c r="J7" i="19"/>
  <c r="R7" i="19" s="1"/>
  <c r="H7" i="19"/>
  <c r="X7" i="19" s="1"/>
  <c r="G7" i="19"/>
  <c r="W7" i="19" s="1"/>
  <c r="F7" i="19"/>
  <c r="E7" i="19"/>
  <c r="D7" i="19"/>
  <c r="C7" i="19"/>
  <c r="B7" i="19"/>
  <c r="R6" i="19"/>
  <c r="P6" i="19"/>
  <c r="O6" i="19"/>
  <c r="N6" i="19"/>
  <c r="M6" i="19"/>
  <c r="L6" i="19"/>
  <c r="K6" i="19"/>
  <c r="J6" i="19"/>
  <c r="H6" i="19"/>
  <c r="X6" i="19" s="1"/>
  <c r="G6" i="19"/>
  <c r="W6" i="19" s="1"/>
  <c r="F6" i="19"/>
  <c r="V6" i="19" s="1"/>
  <c r="E6" i="19"/>
  <c r="D6" i="19"/>
  <c r="T6" i="19" s="1"/>
  <c r="C6" i="19"/>
  <c r="S6" i="19" s="1"/>
  <c r="B6" i="19"/>
  <c r="P5" i="19"/>
  <c r="O5" i="19"/>
  <c r="W5" i="19" s="1"/>
  <c r="N5" i="19"/>
  <c r="M5" i="19"/>
  <c r="U5" i="19" s="1"/>
  <c r="L5" i="19"/>
  <c r="K5" i="19"/>
  <c r="J5" i="19"/>
  <c r="R5" i="19" s="1"/>
  <c r="H5" i="19"/>
  <c r="X5" i="19" s="1"/>
  <c r="G5" i="19"/>
  <c r="F5" i="19"/>
  <c r="E5" i="19"/>
  <c r="D5" i="19"/>
  <c r="T5" i="19" s="1"/>
  <c r="C5" i="19"/>
  <c r="S5" i="19" s="1"/>
  <c r="B5" i="19"/>
  <c r="X4" i="19"/>
  <c r="W4" i="19"/>
  <c r="V4" i="19"/>
  <c r="U4" i="19"/>
  <c r="T4" i="19"/>
  <c r="S4" i="19"/>
  <c r="X10" i="19" l="1"/>
  <c r="S10" i="19"/>
  <c r="S7" i="19"/>
  <c r="U7" i="19"/>
  <c r="V5" i="19"/>
  <c r="U6" i="19"/>
  <c r="U12" i="19" s="1"/>
  <c r="U15" i="19" s="1"/>
  <c r="T8" i="19"/>
  <c r="T12" i="19" s="1"/>
  <c r="V7" i="19"/>
  <c r="V12" i="19" s="1"/>
  <c r="V15" i="19" s="1"/>
  <c r="S12" i="19"/>
  <c r="X9" i="19"/>
  <c r="X12" i="19" s="1"/>
  <c r="X15" i="19" s="1"/>
  <c r="W12" i="19"/>
  <c r="W15" i="19" s="1"/>
  <c r="T15" i="19" l="1"/>
  <c r="T18" i="19"/>
  <c r="T20" i="19" s="1"/>
  <c r="L5" i="18" l="1"/>
  <c r="M5" i="18"/>
  <c r="N5" i="18"/>
  <c r="O5" i="18"/>
  <c r="P5" i="18"/>
  <c r="L6" i="18"/>
  <c r="M6" i="18"/>
  <c r="N6" i="18"/>
  <c r="O6" i="18"/>
  <c r="P6" i="18"/>
  <c r="L7" i="18"/>
  <c r="M7" i="18"/>
  <c r="N7" i="18"/>
  <c r="O7" i="18"/>
  <c r="P7" i="18"/>
  <c r="L8" i="18"/>
  <c r="M8" i="18"/>
  <c r="N8" i="18"/>
  <c r="O8" i="18"/>
  <c r="P8" i="18"/>
  <c r="L9" i="18"/>
  <c r="M9" i="18"/>
  <c r="N9" i="18"/>
  <c r="O9" i="18"/>
  <c r="P9" i="18"/>
  <c r="K6" i="18"/>
  <c r="K7" i="18"/>
  <c r="K8" i="18"/>
  <c r="K9" i="18"/>
  <c r="K5" i="18"/>
  <c r="C5" i="18"/>
  <c r="D5" i="18"/>
  <c r="E5" i="18"/>
  <c r="F5" i="18"/>
  <c r="G5" i="18"/>
  <c r="H5" i="18"/>
  <c r="C6" i="18"/>
  <c r="D6" i="18"/>
  <c r="E6" i="18"/>
  <c r="F6" i="18"/>
  <c r="G6" i="18"/>
  <c r="H6" i="18"/>
  <c r="C7" i="18"/>
  <c r="D7" i="18"/>
  <c r="E7" i="18"/>
  <c r="F7" i="18"/>
  <c r="G7" i="18"/>
  <c r="H7" i="18"/>
  <c r="C8" i="18"/>
  <c r="D8" i="18"/>
  <c r="E8" i="18"/>
  <c r="F8" i="18"/>
  <c r="G8" i="18"/>
  <c r="H8" i="18"/>
  <c r="C9" i="18"/>
  <c r="D9" i="18"/>
  <c r="E9" i="18"/>
  <c r="F9" i="18"/>
  <c r="G9" i="18"/>
  <c r="H9" i="18"/>
  <c r="B6" i="18"/>
  <c r="B7" i="18"/>
  <c r="B8" i="18"/>
  <c r="B9" i="18"/>
  <c r="B5" i="18"/>
  <c r="L5" i="9"/>
  <c r="M5" i="9"/>
  <c r="N5" i="9"/>
  <c r="O5" i="9"/>
  <c r="P5" i="9"/>
  <c r="L6" i="9"/>
  <c r="M6" i="9"/>
  <c r="N6" i="9"/>
  <c r="O6" i="9"/>
  <c r="P6" i="9"/>
  <c r="L7" i="9"/>
  <c r="M7" i="9"/>
  <c r="N7" i="9"/>
  <c r="O7" i="9"/>
  <c r="P7" i="9"/>
  <c r="L8" i="9"/>
  <c r="M8" i="9"/>
  <c r="N8" i="9"/>
  <c r="O8" i="9"/>
  <c r="P8" i="9"/>
  <c r="L9" i="9"/>
  <c r="M9" i="9"/>
  <c r="N9" i="9"/>
  <c r="O9" i="9"/>
  <c r="P9" i="9"/>
  <c r="K6" i="9"/>
  <c r="K7" i="9"/>
  <c r="K8" i="9"/>
  <c r="K9" i="9"/>
  <c r="K5" i="9"/>
  <c r="B6" i="9"/>
  <c r="C6" i="9"/>
  <c r="D6" i="9"/>
  <c r="E6" i="9"/>
  <c r="F6" i="9"/>
  <c r="G6" i="9"/>
  <c r="H6" i="9"/>
  <c r="B7" i="9"/>
  <c r="C7" i="9"/>
  <c r="D7" i="9"/>
  <c r="E7" i="9"/>
  <c r="F7" i="9"/>
  <c r="G7" i="9"/>
  <c r="H7" i="9"/>
  <c r="B8" i="9"/>
  <c r="C8" i="9"/>
  <c r="D8" i="9"/>
  <c r="E8" i="9"/>
  <c r="F8" i="9"/>
  <c r="G8" i="9"/>
  <c r="H8" i="9"/>
  <c r="B9" i="9"/>
  <c r="C9" i="9"/>
  <c r="D9" i="9"/>
  <c r="E9" i="9"/>
  <c r="F9" i="9"/>
  <c r="G9" i="9"/>
  <c r="H9" i="9"/>
  <c r="C5" i="9"/>
  <c r="D5" i="9"/>
  <c r="E5" i="9"/>
  <c r="F5" i="9"/>
  <c r="G5" i="9"/>
  <c r="H5" i="9"/>
  <c r="B5" i="9"/>
  <c r="J13" i="14" l="1"/>
  <c r="B8" i="17"/>
  <c r="B9" i="17"/>
  <c r="B5" i="17"/>
  <c r="B6" i="17"/>
  <c r="B4" i="17"/>
  <c r="D4" i="15"/>
  <c r="D5" i="15"/>
  <c r="D6" i="15"/>
  <c r="D7" i="15"/>
  <c r="D8" i="15"/>
  <c r="C5" i="15"/>
  <c r="C6" i="15"/>
  <c r="C7" i="15"/>
  <c r="C8" i="15"/>
  <c r="C4" i="15"/>
  <c r="D4" i="16"/>
  <c r="D5" i="16"/>
  <c r="D6" i="16"/>
  <c r="D7" i="16"/>
  <c r="D8" i="16"/>
  <c r="C5" i="16"/>
  <c r="C6" i="16"/>
  <c r="C7" i="16"/>
  <c r="C8" i="16"/>
  <c r="C4" i="16"/>
  <c r="C5" i="14"/>
  <c r="D5" i="14"/>
  <c r="C6" i="14"/>
  <c r="D6" i="14"/>
  <c r="C7" i="14"/>
  <c r="D7" i="14"/>
  <c r="C8" i="14"/>
  <c r="D8" i="14"/>
  <c r="D4" i="14"/>
  <c r="C4" i="14"/>
  <c r="C8" i="13"/>
  <c r="D8" i="13"/>
  <c r="C7" i="13"/>
  <c r="D7" i="13"/>
  <c r="C4" i="13"/>
  <c r="D4" i="13"/>
  <c r="C6" i="13"/>
  <c r="D6" i="13"/>
  <c r="T19" i="18"/>
  <c r="S19" i="18"/>
  <c r="U14" i="18"/>
  <c r="V14" i="18"/>
  <c r="W14" i="18"/>
  <c r="X14" i="18"/>
  <c r="T14" i="18"/>
  <c r="T27" i="18" l="1"/>
  <c r="T26" i="18"/>
  <c r="T29" i="18"/>
  <c r="T28" i="18"/>
  <c r="T25" i="18"/>
  <c r="J43" i="18"/>
  <c r="J42" i="18"/>
  <c r="J41" i="18"/>
  <c r="J40" i="18"/>
  <c r="J39" i="18"/>
  <c r="R10" i="18"/>
  <c r="J10" i="18"/>
  <c r="R9" i="18"/>
  <c r="J9" i="18"/>
  <c r="W9" i="18"/>
  <c r="S8" i="18"/>
  <c r="J8" i="18"/>
  <c r="R8" i="18" s="1"/>
  <c r="X8" i="18"/>
  <c r="J7" i="18"/>
  <c r="R7" i="18" s="1"/>
  <c r="W7" i="18"/>
  <c r="U7" i="18"/>
  <c r="S7" i="18"/>
  <c r="J6" i="18"/>
  <c r="R6" i="18" s="1"/>
  <c r="U6" i="18"/>
  <c r="S6" i="18"/>
  <c r="R5" i="18"/>
  <c r="J5" i="18"/>
  <c r="X4" i="18"/>
  <c r="W4" i="18"/>
  <c r="V4" i="18"/>
  <c r="U4" i="18"/>
  <c r="T4" i="18"/>
  <c r="S4" i="18"/>
  <c r="V6" i="18" l="1"/>
  <c r="W6" i="18"/>
  <c r="T7" i="18"/>
  <c r="U8" i="18"/>
  <c r="V9" i="18"/>
  <c r="W5" i="18"/>
  <c r="X5" i="18"/>
  <c r="V8" i="18"/>
  <c r="X7" i="18"/>
  <c r="S9" i="18"/>
  <c r="X6" i="18"/>
  <c r="T9" i="18"/>
  <c r="T8" i="18"/>
  <c r="U9" i="18"/>
  <c r="T6" i="18"/>
  <c r="V7" i="18"/>
  <c r="W8" i="18"/>
  <c r="X9" i="18"/>
  <c r="U5" i="18"/>
  <c r="S5" i="18"/>
  <c r="T5" i="18"/>
  <c r="V5" i="18"/>
  <c r="G33" i="15" l="1"/>
  <c r="H33" i="15"/>
  <c r="F33" i="15"/>
  <c r="C25" i="17"/>
  <c r="D25" i="17"/>
  <c r="B25" i="17"/>
  <c r="C24" i="17"/>
  <c r="D24" i="17"/>
  <c r="E23" i="17"/>
  <c r="E22" i="17"/>
  <c r="E21" i="17"/>
  <c r="E19" i="17"/>
  <c r="E18" i="17"/>
  <c r="D23" i="17"/>
  <c r="D22" i="17"/>
  <c r="D19" i="17"/>
  <c r="D20" i="17"/>
  <c r="D18" i="17"/>
  <c r="C23" i="17"/>
  <c r="C22" i="17"/>
  <c r="C21" i="17"/>
  <c r="C19" i="17"/>
  <c r="C20" i="17"/>
  <c r="C18" i="17"/>
  <c r="B24" i="17"/>
  <c r="B23" i="17"/>
  <c r="B22" i="17"/>
  <c r="B21" i="17"/>
  <c r="B20" i="17"/>
  <c r="B19" i="17"/>
  <c r="B18" i="17"/>
  <c r="A19" i="17"/>
  <c r="A20" i="17"/>
  <c r="A21" i="17"/>
  <c r="A22" i="17"/>
  <c r="A23" i="17"/>
  <c r="A24" i="17"/>
  <c r="A18" i="17"/>
  <c r="D7" i="17"/>
  <c r="E7" i="17"/>
  <c r="C7" i="17"/>
  <c r="D8" i="17"/>
  <c r="E8" i="17"/>
  <c r="D9" i="17"/>
  <c r="E9" i="17"/>
  <c r="C9" i="17"/>
  <c r="C8" i="17"/>
  <c r="F12" i="17"/>
  <c r="G12" i="17"/>
  <c r="H12" i="17"/>
  <c r="D11" i="17"/>
  <c r="E11" i="17"/>
  <c r="F11" i="17" s="1"/>
  <c r="G11" i="17" s="1"/>
  <c r="H11" i="17" s="1"/>
  <c r="I11" i="17" s="1"/>
  <c r="J11" i="17" s="1"/>
  <c r="K11" i="17" s="1"/>
  <c r="C11" i="17"/>
  <c r="C10" i="17" l="1"/>
  <c r="D10" i="17"/>
  <c r="D12" i="17" s="1"/>
  <c r="E10" i="17"/>
  <c r="E12" i="17" s="1"/>
  <c r="F10" i="17"/>
  <c r="G10" i="17"/>
  <c r="H10" i="17"/>
  <c r="B10" i="17"/>
  <c r="J7" i="17"/>
  <c r="K7" i="17"/>
  <c r="J8" i="17"/>
  <c r="K8" i="17"/>
  <c r="J9" i="17"/>
  <c r="K9" i="17"/>
  <c r="I9" i="17"/>
  <c r="I8" i="17"/>
  <c r="I7" i="17"/>
  <c r="J4" i="17"/>
  <c r="K4" i="17"/>
  <c r="J5" i="17"/>
  <c r="K5" i="17"/>
  <c r="I5" i="17"/>
  <c r="I4" i="17"/>
  <c r="G8" i="17"/>
  <c r="H8" i="17"/>
  <c r="G9" i="17"/>
  <c r="H9" i="17"/>
  <c r="F9" i="17"/>
  <c r="F8" i="17"/>
  <c r="G4" i="17"/>
  <c r="H4" i="17"/>
  <c r="G5" i="17"/>
  <c r="H5" i="17"/>
  <c r="G6" i="17"/>
  <c r="H6" i="17"/>
  <c r="F5" i="17"/>
  <c r="F6" i="17"/>
  <c r="F4" i="17"/>
  <c r="D4" i="17"/>
  <c r="E4" i="17"/>
  <c r="D5" i="17"/>
  <c r="E5" i="17"/>
  <c r="D6" i="17"/>
  <c r="E6" i="17"/>
  <c r="C5" i="17"/>
  <c r="C6" i="17"/>
  <c r="C4" i="17"/>
  <c r="G3" i="17"/>
  <c r="J3" i="17" s="1"/>
  <c r="H3" i="17"/>
  <c r="K3" i="17" s="1"/>
  <c r="I3" i="17"/>
  <c r="F3" i="17"/>
  <c r="B13" i="17" l="1"/>
  <c r="B12" i="17"/>
  <c r="F13" i="17"/>
  <c r="C13" i="17"/>
  <c r="C12" i="17"/>
  <c r="F33" i="16"/>
  <c r="G33" i="16"/>
  <c r="H33" i="16"/>
  <c r="F34" i="15"/>
  <c r="G34" i="15"/>
  <c r="H34" i="15"/>
  <c r="K55" i="16"/>
  <c r="U52" i="16"/>
  <c r="T52" i="16"/>
  <c r="L52" i="16"/>
  <c r="R50" i="16"/>
  <c r="D46" i="16"/>
  <c r="E46" i="16" s="1"/>
  <c r="F46" i="16" s="1"/>
  <c r="G46" i="16" s="1"/>
  <c r="H46" i="16" s="1"/>
  <c r="I46" i="16" s="1"/>
  <c r="J46" i="16" s="1"/>
  <c r="K46" i="16" s="1"/>
  <c r="L46" i="16" s="1"/>
  <c r="M46" i="16" s="1"/>
  <c r="N46" i="16" s="1"/>
  <c r="O46" i="16" s="1"/>
  <c r="P46" i="16" s="1"/>
  <c r="Q46" i="16" s="1"/>
  <c r="R46" i="16" s="1"/>
  <c r="S46" i="16" s="1"/>
  <c r="T46" i="16" s="1"/>
  <c r="U46" i="16" s="1"/>
  <c r="C46" i="16"/>
  <c r="H36" i="16"/>
  <c r="R55" i="16" s="1"/>
  <c r="G36" i="16"/>
  <c r="P55" i="16" s="1"/>
  <c r="F36" i="16"/>
  <c r="J55" i="16" s="1"/>
  <c r="E36" i="16"/>
  <c r="F55" i="16" s="1"/>
  <c r="H35" i="16"/>
  <c r="U54" i="16" s="1"/>
  <c r="G35" i="16"/>
  <c r="M54" i="16" s="1"/>
  <c r="F35" i="16"/>
  <c r="K54" i="16" s="1"/>
  <c r="E35" i="16"/>
  <c r="E54" i="16" s="1"/>
  <c r="E62" i="16" s="1"/>
  <c r="H34" i="16"/>
  <c r="U53" i="16" s="1"/>
  <c r="G34" i="16"/>
  <c r="P53" i="16" s="1"/>
  <c r="F34" i="16"/>
  <c r="H53" i="16" s="1"/>
  <c r="E34" i="16"/>
  <c r="F53" i="16" s="1"/>
  <c r="S52" i="16"/>
  <c r="P52" i="16"/>
  <c r="K52" i="16"/>
  <c r="E33" i="16"/>
  <c r="F52" i="16" s="1"/>
  <c r="F60" i="16" s="1"/>
  <c r="H32" i="16"/>
  <c r="U51" i="16" s="1"/>
  <c r="G32" i="16"/>
  <c r="N51" i="16" s="1"/>
  <c r="F32" i="16"/>
  <c r="K51" i="16" s="1"/>
  <c r="E32" i="16"/>
  <c r="F51" i="16" s="1"/>
  <c r="H31" i="16"/>
  <c r="Q50" i="16" s="1"/>
  <c r="G31" i="16"/>
  <c r="P50" i="16" s="1"/>
  <c r="F31" i="16"/>
  <c r="I50" i="16" s="1"/>
  <c r="E31" i="16"/>
  <c r="F50" i="16" s="1"/>
  <c r="F58" i="16" s="1"/>
  <c r="E9" i="16"/>
  <c r="F9" i="16" s="1"/>
  <c r="G9" i="16" s="1"/>
  <c r="H9" i="16" s="1"/>
  <c r="E8" i="16"/>
  <c r="F8" i="16" s="1"/>
  <c r="G8" i="16" s="1"/>
  <c r="H8" i="16" s="1"/>
  <c r="E7" i="16"/>
  <c r="F7" i="16" s="1"/>
  <c r="G7" i="16" s="1"/>
  <c r="H7" i="16" s="1"/>
  <c r="E6" i="16"/>
  <c r="F6" i="16" s="1"/>
  <c r="G6" i="16" s="1"/>
  <c r="H6" i="16" s="1"/>
  <c r="E5" i="16"/>
  <c r="F5" i="16" s="1"/>
  <c r="G5" i="16" s="1"/>
  <c r="H5" i="16" s="1"/>
  <c r="E4" i="16"/>
  <c r="F4" i="16" s="1"/>
  <c r="D10" i="16"/>
  <c r="C10" i="16"/>
  <c r="D70" i="15"/>
  <c r="E70" i="15"/>
  <c r="F70" i="15"/>
  <c r="G70" i="15"/>
  <c r="D73" i="15"/>
  <c r="E73" i="15"/>
  <c r="F73" i="15"/>
  <c r="G73" i="15"/>
  <c r="D74" i="15"/>
  <c r="E74" i="15"/>
  <c r="F74" i="15"/>
  <c r="G74" i="15"/>
  <c r="G69" i="15"/>
  <c r="F69" i="15"/>
  <c r="E69" i="15"/>
  <c r="D69" i="15"/>
  <c r="D63" i="15"/>
  <c r="E63" i="15"/>
  <c r="F63" i="15"/>
  <c r="G63" i="15"/>
  <c r="H63" i="15"/>
  <c r="I63" i="15"/>
  <c r="J63" i="15"/>
  <c r="K63" i="15"/>
  <c r="L63" i="15"/>
  <c r="M63" i="15"/>
  <c r="N63" i="15"/>
  <c r="O63" i="15"/>
  <c r="P63" i="15"/>
  <c r="Q63" i="15"/>
  <c r="R63" i="15"/>
  <c r="S63" i="15"/>
  <c r="T63" i="15"/>
  <c r="U63" i="15"/>
  <c r="E55" i="15"/>
  <c r="F55" i="15"/>
  <c r="G55" i="15"/>
  <c r="H55" i="15"/>
  <c r="I55" i="15"/>
  <c r="J55" i="15"/>
  <c r="K55" i="15"/>
  <c r="L55" i="15"/>
  <c r="M55" i="15"/>
  <c r="N55" i="15"/>
  <c r="O55" i="15"/>
  <c r="P55" i="15"/>
  <c r="Q55" i="15"/>
  <c r="R55" i="15"/>
  <c r="S55" i="15"/>
  <c r="T55" i="15"/>
  <c r="U55" i="15"/>
  <c r="D55" i="15"/>
  <c r="F35" i="15"/>
  <c r="G35" i="15"/>
  <c r="H35" i="15"/>
  <c r="E35" i="15"/>
  <c r="E34" i="15"/>
  <c r="F36" i="15"/>
  <c r="G36" i="15"/>
  <c r="H36" i="15"/>
  <c r="E36" i="15"/>
  <c r="E33" i="15"/>
  <c r="F32" i="15"/>
  <c r="G32" i="15"/>
  <c r="H32" i="15"/>
  <c r="E32" i="15"/>
  <c r="F31" i="15"/>
  <c r="G31" i="15"/>
  <c r="H31" i="15"/>
  <c r="E31" i="15"/>
  <c r="P51" i="16" l="1"/>
  <c r="L55" i="16"/>
  <c r="D52" i="16"/>
  <c r="D60" i="16" s="1"/>
  <c r="S50" i="16"/>
  <c r="S58" i="16" s="1"/>
  <c r="G51" i="16"/>
  <c r="G59" i="16" s="1"/>
  <c r="H51" i="16"/>
  <c r="D55" i="16"/>
  <c r="D63" i="16" s="1"/>
  <c r="O51" i="16"/>
  <c r="O59" i="16" s="1"/>
  <c r="S55" i="16"/>
  <c r="E52" i="16"/>
  <c r="E60" i="16" s="1"/>
  <c r="T55" i="16"/>
  <c r="T63" i="16" s="1"/>
  <c r="Q53" i="16"/>
  <c r="Q61" i="16" s="1"/>
  <c r="R53" i="16"/>
  <c r="R61" i="16" s="1"/>
  <c r="F54" i="16"/>
  <c r="I53" i="16"/>
  <c r="J53" i="16"/>
  <c r="N54" i="16"/>
  <c r="M62" i="16"/>
  <c r="L60" i="16"/>
  <c r="N62" i="16"/>
  <c r="P60" i="16"/>
  <c r="R58" i="16"/>
  <c r="Q58" i="16"/>
  <c r="S60" i="16"/>
  <c r="U62" i="16"/>
  <c r="T60" i="16"/>
  <c r="I58" i="16"/>
  <c r="F62" i="16"/>
  <c r="G4" i="16"/>
  <c r="F10" i="16"/>
  <c r="F59" i="16"/>
  <c r="F61" i="16"/>
  <c r="F63" i="16"/>
  <c r="U60" i="16"/>
  <c r="K63" i="16"/>
  <c r="K62" i="16"/>
  <c r="K59" i="16"/>
  <c r="H61" i="16"/>
  <c r="J63" i="16"/>
  <c r="H59" i="16"/>
  <c r="I61" i="16"/>
  <c r="L63" i="16"/>
  <c r="K60" i="16"/>
  <c r="P58" i="16"/>
  <c r="N59" i="16"/>
  <c r="P61" i="16"/>
  <c r="P63" i="16"/>
  <c r="J61" i="16"/>
  <c r="S63" i="16"/>
  <c r="U59" i="16"/>
  <c r="U61" i="16"/>
  <c r="R63" i="16"/>
  <c r="P59" i="16"/>
  <c r="D50" i="16"/>
  <c r="L50" i="16"/>
  <c r="L58" i="16" s="1"/>
  <c r="T50" i="16"/>
  <c r="T58" i="16" s="1"/>
  <c r="I51" i="16"/>
  <c r="I59" i="16" s="1"/>
  <c r="Q51" i="16"/>
  <c r="Q59" i="16" s="1"/>
  <c r="N52" i="16"/>
  <c r="N60" i="16" s="1"/>
  <c r="K53" i="16"/>
  <c r="K61" i="16" s="1"/>
  <c r="S53" i="16"/>
  <c r="S61" i="16" s="1"/>
  <c r="H54" i="16"/>
  <c r="H62" i="16" s="1"/>
  <c r="P54" i="16"/>
  <c r="P62" i="16" s="1"/>
  <c r="E55" i="16"/>
  <c r="E63" i="16" s="1"/>
  <c r="M55" i="16"/>
  <c r="M63" i="16" s="1"/>
  <c r="U55" i="16"/>
  <c r="U63" i="16" s="1"/>
  <c r="E10" i="16"/>
  <c r="E50" i="16"/>
  <c r="E58" i="16" s="1"/>
  <c r="M50" i="16"/>
  <c r="M58" i="16" s="1"/>
  <c r="U50" i="16"/>
  <c r="U58" i="16" s="1"/>
  <c r="J51" i="16"/>
  <c r="J59" i="16" s="1"/>
  <c r="R51" i="16"/>
  <c r="R59" i="16" s="1"/>
  <c r="G52" i="16"/>
  <c r="G60" i="16" s="1"/>
  <c r="O52" i="16"/>
  <c r="O60" i="16" s="1"/>
  <c r="D53" i="16"/>
  <c r="L53" i="16"/>
  <c r="L61" i="16" s="1"/>
  <c r="T53" i="16"/>
  <c r="T61" i="16" s="1"/>
  <c r="I54" i="16"/>
  <c r="I62" i="16" s="1"/>
  <c r="Q54" i="16"/>
  <c r="Q62" i="16" s="1"/>
  <c r="N55" i="16"/>
  <c r="N63" i="16" s="1"/>
  <c r="M52" i="16"/>
  <c r="M60" i="16" s="1"/>
  <c r="N50" i="16"/>
  <c r="N58" i="16" s="1"/>
  <c r="S51" i="16"/>
  <c r="S59" i="16" s="1"/>
  <c r="H52" i="16"/>
  <c r="H60" i="16" s="1"/>
  <c r="E53" i="16"/>
  <c r="E61" i="16" s="1"/>
  <c r="M53" i="16"/>
  <c r="M61" i="16" s="1"/>
  <c r="J54" i="16"/>
  <c r="J62" i="16" s="1"/>
  <c r="R54" i="16"/>
  <c r="R62" i="16" s="1"/>
  <c r="G55" i="16"/>
  <c r="G63" i="16" s="1"/>
  <c r="O55" i="16"/>
  <c r="O63" i="16" s="1"/>
  <c r="J50" i="16"/>
  <c r="J58" i="16" s="1"/>
  <c r="G54" i="16"/>
  <c r="G62" i="16" s="1"/>
  <c r="G50" i="16"/>
  <c r="G58" i="16" s="1"/>
  <c r="O50" i="16"/>
  <c r="O58" i="16" s="1"/>
  <c r="D51" i="16"/>
  <c r="L51" i="16"/>
  <c r="L59" i="16" s="1"/>
  <c r="T51" i="16"/>
  <c r="T59" i="16" s="1"/>
  <c r="I52" i="16"/>
  <c r="I60" i="16" s="1"/>
  <c r="Q52" i="16"/>
  <c r="Q60" i="16" s="1"/>
  <c r="N53" i="16"/>
  <c r="N61" i="16" s="1"/>
  <c r="S54" i="16"/>
  <c r="S62" i="16" s="1"/>
  <c r="H55" i="16"/>
  <c r="H63" i="16" s="1"/>
  <c r="K50" i="16"/>
  <c r="K58" i="16" s="1"/>
  <c r="H50" i="16"/>
  <c r="H58" i="16" s="1"/>
  <c r="E51" i="16"/>
  <c r="E59" i="16" s="1"/>
  <c r="M51" i="16"/>
  <c r="M59" i="16" s="1"/>
  <c r="J52" i="16"/>
  <c r="J60" i="16" s="1"/>
  <c r="R52" i="16"/>
  <c r="R60" i="16" s="1"/>
  <c r="G53" i="16"/>
  <c r="G61" i="16" s="1"/>
  <c r="O53" i="16"/>
  <c r="O61" i="16" s="1"/>
  <c r="D54" i="16"/>
  <c r="L54" i="16"/>
  <c r="L62" i="16" s="1"/>
  <c r="T54" i="16"/>
  <c r="T62" i="16" s="1"/>
  <c r="I55" i="16"/>
  <c r="I63" i="16" s="1"/>
  <c r="Q55" i="16"/>
  <c r="Q63" i="16" s="1"/>
  <c r="O54" i="16"/>
  <c r="O62" i="16" s="1"/>
  <c r="G71" i="16" l="1"/>
  <c r="G74" i="16"/>
  <c r="D74" i="16"/>
  <c r="X60" i="16"/>
  <c r="E74" i="16"/>
  <c r="X50" i="16"/>
  <c r="D58" i="16"/>
  <c r="D71" i="16"/>
  <c r="F74" i="16"/>
  <c r="E71" i="16"/>
  <c r="X51" i="16"/>
  <c r="D59" i="16"/>
  <c r="X53" i="16"/>
  <c r="D61" i="16"/>
  <c r="X52" i="16"/>
  <c r="F71" i="16"/>
  <c r="D62" i="16"/>
  <c r="X54" i="16"/>
  <c r="H4" i="16"/>
  <c r="H10" i="16" s="1"/>
  <c r="G10" i="16"/>
  <c r="G69" i="16" l="1"/>
  <c r="F69" i="16"/>
  <c r="E69" i="16"/>
  <c r="X58" i="16"/>
  <c r="D69" i="16"/>
  <c r="G73" i="16"/>
  <c r="X62" i="16"/>
  <c r="F73" i="16"/>
  <c r="E73" i="16"/>
  <c r="D73" i="16"/>
  <c r="X61" i="16"/>
  <c r="E72" i="16"/>
  <c r="G72" i="16"/>
  <c r="D72" i="16"/>
  <c r="F72" i="16"/>
  <c r="D70" i="16"/>
  <c r="G70" i="16"/>
  <c r="E70" i="16"/>
  <c r="F70" i="16"/>
  <c r="X59" i="16"/>
  <c r="D75" i="16" l="1"/>
  <c r="E75" i="16"/>
  <c r="F75" i="16"/>
  <c r="G75" i="16"/>
  <c r="G8" i="15" l="1"/>
  <c r="H8" i="15" s="1"/>
  <c r="F8" i="15"/>
  <c r="E8" i="15"/>
  <c r="G7" i="15"/>
  <c r="H7" i="15" s="1"/>
  <c r="F7" i="15"/>
  <c r="E7" i="15"/>
  <c r="G4" i="15"/>
  <c r="H4" i="15"/>
  <c r="G5" i="15"/>
  <c r="H5" i="15"/>
  <c r="G6" i="15"/>
  <c r="H6" i="15"/>
  <c r="G9" i="15"/>
  <c r="H9" i="15" s="1"/>
  <c r="F9" i="15"/>
  <c r="E9" i="15"/>
  <c r="F6" i="15"/>
  <c r="F5" i="15"/>
  <c r="F4" i="15"/>
  <c r="D10" i="15"/>
  <c r="C10" i="15"/>
  <c r="E6" i="15"/>
  <c r="E5" i="15"/>
  <c r="E4" i="15"/>
  <c r="D54" i="15"/>
  <c r="O53" i="15"/>
  <c r="N53" i="15"/>
  <c r="G53" i="15"/>
  <c r="G61" i="15" s="1"/>
  <c r="F53" i="15"/>
  <c r="F61" i="15" s="1"/>
  <c r="Q52" i="15"/>
  <c r="Q60" i="15" s="1"/>
  <c r="J52" i="15"/>
  <c r="J60" i="15" s="1"/>
  <c r="I52" i="15"/>
  <c r="I60" i="15" s="1"/>
  <c r="U51" i="15"/>
  <c r="T51" i="15"/>
  <c r="M51" i="15"/>
  <c r="M59" i="15" s="1"/>
  <c r="L51" i="15"/>
  <c r="L59" i="15" s="1"/>
  <c r="E51" i="15"/>
  <c r="E59" i="15" s="1"/>
  <c r="D51" i="15"/>
  <c r="H50" i="15"/>
  <c r="H58" i="15" s="1"/>
  <c r="G50" i="15"/>
  <c r="G58" i="15" s="1"/>
  <c r="C46" i="15"/>
  <c r="D46" i="15" s="1"/>
  <c r="E46" i="15" s="1"/>
  <c r="F46" i="15" s="1"/>
  <c r="G46" i="15" s="1"/>
  <c r="H46" i="15" s="1"/>
  <c r="I46" i="15" s="1"/>
  <c r="J46" i="15" s="1"/>
  <c r="K46" i="15" s="1"/>
  <c r="L46" i="15" s="1"/>
  <c r="M46" i="15" s="1"/>
  <c r="N46" i="15" s="1"/>
  <c r="O46" i="15" s="1"/>
  <c r="P46" i="15" s="1"/>
  <c r="Q46" i="15" s="1"/>
  <c r="R46" i="15" s="1"/>
  <c r="S46" i="15" s="1"/>
  <c r="T46" i="15" s="1"/>
  <c r="U46" i="15" s="1"/>
  <c r="U54" i="15"/>
  <c r="M54" i="15"/>
  <c r="M62" i="15" s="1"/>
  <c r="K54" i="15"/>
  <c r="K62" i="15" s="1"/>
  <c r="E54" i="15"/>
  <c r="E62" i="15" s="1"/>
  <c r="U53" i="15"/>
  <c r="U61" i="15" s="1"/>
  <c r="P53" i="15"/>
  <c r="P61" i="15" s="1"/>
  <c r="H53" i="15"/>
  <c r="H61" i="15" s="1"/>
  <c r="E53" i="15"/>
  <c r="E61" i="15" s="1"/>
  <c r="S52" i="15"/>
  <c r="P52" i="15"/>
  <c r="P60" i="15" s="1"/>
  <c r="K52" i="15"/>
  <c r="K60" i="15" s="1"/>
  <c r="E20" i="17" s="1"/>
  <c r="E24" i="17" s="1"/>
  <c r="E25" i="17" s="1"/>
  <c r="F52" i="15"/>
  <c r="F60" i="15" s="1"/>
  <c r="S51" i="15"/>
  <c r="S59" i="15" s="1"/>
  <c r="N51" i="15"/>
  <c r="N59" i="15" s="1"/>
  <c r="K51" i="15"/>
  <c r="K59" i="15" s="1"/>
  <c r="F51" i="15"/>
  <c r="F59" i="15" s="1"/>
  <c r="Q50" i="15"/>
  <c r="Q58" i="15" s="1"/>
  <c r="N50" i="15"/>
  <c r="N58" i="15" s="1"/>
  <c r="I50" i="15"/>
  <c r="I58" i="15" s="1"/>
  <c r="F50" i="15"/>
  <c r="F58" i="15" s="1"/>
  <c r="F8" i="14"/>
  <c r="F7" i="14"/>
  <c r="F6" i="14"/>
  <c r="F5" i="14"/>
  <c r="F4" i="14"/>
  <c r="E8" i="14"/>
  <c r="E7" i="14"/>
  <c r="E6" i="14"/>
  <c r="E5" i="14"/>
  <c r="E4" i="14"/>
  <c r="E58" i="13"/>
  <c r="F58" i="13"/>
  <c r="G58" i="13"/>
  <c r="H58" i="13"/>
  <c r="I58" i="13"/>
  <c r="J58" i="13"/>
  <c r="K58" i="13"/>
  <c r="L58" i="13"/>
  <c r="M58" i="13"/>
  <c r="N58" i="13"/>
  <c r="O58" i="13"/>
  <c r="P58" i="13"/>
  <c r="Q58" i="13"/>
  <c r="R58" i="13"/>
  <c r="S58" i="13"/>
  <c r="T58" i="13"/>
  <c r="U58" i="13"/>
  <c r="E59" i="13"/>
  <c r="X59" i="13" s="1"/>
  <c r="F59" i="13"/>
  <c r="G59" i="13"/>
  <c r="H59" i="13"/>
  <c r="I59" i="13"/>
  <c r="J59" i="13"/>
  <c r="K59" i="13"/>
  <c r="L59" i="13"/>
  <c r="M59" i="13"/>
  <c r="N59" i="13"/>
  <c r="O59" i="13"/>
  <c r="P59" i="13"/>
  <c r="Q59" i="13"/>
  <c r="R59" i="13"/>
  <c r="S59" i="13"/>
  <c r="T59" i="13"/>
  <c r="U59" i="13"/>
  <c r="E60" i="13"/>
  <c r="F60" i="13"/>
  <c r="G60" i="13"/>
  <c r="H60" i="13"/>
  <c r="I60" i="13"/>
  <c r="J60" i="13"/>
  <c r="K60" i="13"/>
  <c r="L60" i="13"/>
  <c r="M60" i="13"/>
  <c r="N60" i="13"/>
  <c r="O60" i="13"/>
  <c r="P60" i="13"/>
  <c r="Q60" i="13"/>
  <c r="R60" i="13"/>
  <c r="S60" i="13"/>
  <c r="T60" i="13"/>
  <c r="U60" i="13"/>
  <c r="E61" i="13"/>
  <c r="F61" i="13"/>
  <c r="G61" i="13"/>
  <c r="H7" i="14" s="1"/>
  <c r="H61" i="13"/>
  <c r="I61" i="13"/>
  <c r="J61" i="13"/>
  <c r="K61" i="13"/>
  <c r="L61" i="13"/>
  <c r="M61" i="13"/>
  <c r="N61" i="13"/>
  <c r="O61" i="13"/>
  <c r="P61" i="13"/>
  <c r="Q61" i="13"/>
  <c r="R61" i="13"/>
  <c r="S61" i="13"/>
  <c r="T61" i="13"/>
  <c r="U61" i="13"/>
  <c r="E62" i="13"/>
  <c r="F62" i="13"/>
  <c r="X62" i="13" s="1"/>
  <c r="G62" i="13"/>
  <c r="H62" i="13"/>
  <c r="G8" i="14" s="1"/>
  <c r="I62" i="13"/>
  <c r="J62" i="13"/>
  <c r="K62" i="13"/>
  <c r="L62" i="13"/>
  <c r="M62" i="13"/>
  <c r="N62" i="13"/>
  <c r="O62" i="13"/>
  <c r="P62" i="13"/>
  <c r="Q62" i="13"/>
  <c r="R62" i="13"/>
  <c r="S62" i="13"/>
  <c r="T62" i="13"/>
  <c r="U62" i="13"/>
  <c r="D59" i="13"/>
  <c r="G5" i="14" s="1"/>
  <c r="D60" i="13"/>
  <c r="D61" i="13"/>
  <c r="D62" i="13"/>
  <c r="D58" i="13"/>
  <c r="G4" i="14" s="1"/>
  <c r="X51" i="13"/>
  <c r="X52" i="13"/>
  <c r="X53" i="13"/>
  <c r="X54" i="13"/>
  <c r="X61" i="13"/>
  <c r="X50" i="13"/>
  <c r="R50" i="13"/>
  <c r="S50" i="13"/>
  <c r="T50" i="13"/>
  <c r="U50" i="13"/>
  <c r="R51" i="13"/>
  <c r="S51" i="13"/>
  <c r="T51" i="13"/>
  <c r="U51" i="13"/>
  <c r="R52" i="13"/>
  <c r="S52" i="13"/>
  <c r="T52" i="13"/>
  <c r="U52" i="13"/>
  <c r="R53" i="13"/>
  <c r="S53" i="13"/>
  <c r="T53" i="13"/>
  <c r="U53" i="13"/>
  <c r="R54" i="13"/>
  <c r="S54" i="13"/>
  <c r="T54" i="13"/>
  <c r="U54" i="13"/>
  <c r="Q51" i="13"/>
  <c r="Q52" i="13"/>
  <c r="Q53" i="13"/>
  <c r="Q54" i="13"/>
  <c r="Q50" i="13"/>
  <c r="P50" i="13"/>
  <c r="P51" i="13"/>
  <c r="P52" i="13"/>
  <c r="P53" i="13"/>
  <c r="P54" i="13"/>
  <c r="M50" i="13"/>
  <c r="N50" i="13"/>
  <c r="O50" i="13"/>
  <c r="M51" i="13"/>
  <c r="N51" i="13"/>
  <c r="O51" i="13"/>
  <c r="M52" i="13"/>
  <c r="N52" i="13"/>
  <c r="O52" i="13"/>
  <c r="M53" i="13"/>
  <c r="N53" i="13"/>
  <c r="O53" i="13"/>
  <c r="M54" i="13"/>
  <c r="N54" i="13"/>
  <c r="O54" i="13"/>
  <c r="L51" i="13"/>
  <c r="L52" i="13"/>
  <c r="L53" i="13"/>
  <c r="L54" i="13"/>
  <c r="L50" i="13"/>
  <c r="H50" i="13"/>
  <c r="I50" i="13"/>
  <c r="J50" i="13"/>
  <c r="K50" i="13"/>
  <c r="H51" i="13"/>
  <c r="I51" i="13"/>
  <c r="J51" i="13"/>
  <c r="K51" i="13"/>
  <c r="H52" i="13"/>
  <c r="I52" i="13"/>
  <c r="J52" i="13"/>
  <c r="K52" i="13"/>
  <c r="H53" i="13"/>
  <c r="I53" i="13"/>
  <c r="J53" i="13"/>
  <c r="K53" i="13"/>
  <c r="H54" i="13"/>
  <c r="I54" i="13"/>
  <c r="J54" i="13"/>
  <c r="K54" i="13"/>
  <c r="G51" i="13"/>
  <c r="G52" i="13"/>
  <c r="G53" i="13"/>
  <c r="G54" i="13"/>
  <c r="G50" i="13"/>
  <c r="F50" i="13"/>
  <c r="F51" i="13"/>
  <c r="F52" i="13"/>
  <c r="F53" i="13"/>
  <c r="F54" i="13"/>
  <c r="E50" i="13"/>
  <c r="E51" i="13"/>
  <c r="E52" i="13"/>
  <c r="E53" i="13"/>
  <c r="E54" i="13"/>
  <c r="D51" i="13"/>
  <c r="D52" i="13"/>
  <c r="D53" i="13"/>
  <c r="D54" i="13"/>
  <c r="D50" i="13"/>
  <c r="F31" i="13"/>
  <c r="G31" i="13"/>
  <c r="H31" i="13"/>
  <c r="F32" i="13"/>
  <c r="G32" i="13"/>
  <c r="H32" i="13"/>
  <c r="F33" i="13"/>
  <c r="G33" i="13"/>
  <c r="H33" i="13"/>
  <c r="F34" i="13"/>
  <c r="G34" i="13"/>
  <c r="H34" i="13"/>
  <c r="F35" i="13"/>
  <c r="G35" i="13"/>
  <c r="H35" i="13"/>
  <c r="E35" i="13"/>
  <c r="E34" i="13"/>
  <c r="E33" i="13"/>
  <c r="E32" i="13"/>
  <c r="E31" i="13"/>
  <c r="D46" i="13"/>
  <c r="E46" i="13" s="1"/>
  <c r="F46" i="13" s="1"/>
  <c r="G46" i="13" s="1"/>
  <c r="H46" i="13" s="1"/>
  <c r="I46" i="13" s="1"/>
  <c r="J46" i="13" s="1"/>
  <c r="K46" i="13" s="1"/>
  <c r="L46" i="13" s="1"/>
  <c r="M46" i="13" s="1"/>
  <c r="N46" i="13" s="1"/>
  <c r="O46" i="13" s="1"/>
  <c r="P46" i="13" s="1"/>
  <c r="Q46" i="13" s="1"/>
  <c r="R46" i="13" s="1"/>
  <c r="S46" i="13" s="1"/>
  <c r="T46" i="13" s="1"/>
  <c r="U46" i="13" s="1"/>
  <c r="C46" i="13"/>
  <c r="C9" i="14"/>
  <c r="C11" i="14" s="1"/>
  <c r="D10" i="14"/>
  <c r="C10" i="14"/>
  <c r="D72" i="15" l="1"/>
  <c r="E10" i="15"/>
  <c r="F10" i="15"/>
  <c r="N61" i="15"/>
  <c r="S60" i="15"/>
  <c r="U62" i="15"/>
  <c r="T59" i="15"/>
  <c r="O61" i="15"/>
  <c r="U59" i="15"/>
  <c r="D62" i="15"/>
  <c r="L54" i="15"/>
  <c r="L62" i="15" s="1"/>
  <c r="J50" i="15"/>
  <c r="J58" i="15" s="1"/>
  <c r="R50" i="15"/>
  <c r="R58" i="15" s="1"/>
  <c r="G51" i="15"/>
  <c r="G59" i="15" s="1"/>
  <c r="O51" i="15"/>
  <c r="O59" i="15" s="1"/>
  <c r="D52" i="15"/>
  <c r="L52" i="15"/>
  <c r="L60" i="15" s="1"/>
  <c r="T52" i="15"/>
  <c r="T60" i="15" s="1"/>
  <c r="I53" i="15"/>
  <c r="I61" i="15" s="1"/>
  <c r="Q53" i="15"/>
  <c r="Q61" i="15" s="1"/>
  <c r="F54" i="15"/>
  <c r="F62" i="15" s="1"/>
  <c r="N54" i="15"/>
  <c r="N62" i="15" s="1"/>
  <c r="R52" i="15"/>
  <c r="R60" i="15" s="1"/>
  <c r="K50" i="15"/>
  <c r="K58" i="15" s="1"/>
  <c r="S50" i="15"/>
  <c r="S58" i="15" s="1"/>
  <c r="H51" i="15"/>
  <c r="H59" i="15" s="1"/>
  <c r="P51" i="15"/>
  <c r="P59" i="15" s="1"/>
  <c r="E52" i="15"/>
  <c r="E60" i="15" s="1"/>
  <c r="M52" i="15"/>
  <c r="M60" i="15" s="1"/>
  <c r="U52" i="15"/>
  <c r="U60" i="15" s="1"/>
  <c r="J53" i="15"/>
  <c r="J61" i="15" s="1"/>
  <c r="F72" i="15" s="1"/>
  <c r="R53" i="15"/>
  <c r="R61" i="15" s="1"/>
  <c r="G54" i="15"/>
  <c r="G62" i="15" s="1"/>
  <c r="O54" i="15"/>
  <c r="O62" i="15" s="1"/>
  <c r="D50" i="15"/>
  <c r="L50" i="15"/>
  <c r="L58" i="15" s="1"/>
  <c r="T50" i="15"/>
  <c r="T58" i="15" s="1"/>
  <c r="I51" i="15"/>
  <c r="I59" i="15" s="1"/>
  <c r="Q51" i="15"/>
  <c r="Q59" i="15" s="1"/>
  <c r="N52" i="15"/>
  <c r="N60" i="15" s="1"/>
  <c r="K53" i="15"/>
  <c r="K61" i="15" s="1"/>
  <c r="S53" i="15"/>
  <c r="S61" i="15" s="1"/>
  <c r="H54" i="15"/>
  <c r="H62" i="15" s="1"/>
  <c r="P54" i="15"/>
  <c r="P62" i="15" s="1"/>
  <c r="O50" i="15"/>
  <c r="O58" i="15" s="1"/>
  <c r="E50" i="15"/>
  <c r="E58" i="15" s="1"/>
  <c r="M50" i="15"/>
  <c r="M58" i="15" s="1"/>
  <c r="U50" i="15"/>
  <c r="U58" i="15" s="1"/>
  <c r="J51" i="15"/>
  <c r="J59" i="15" s="1"/>
  <c r="R51" i="15"/>
  <c r="R59" i="15" s="1"/>
  <c r="G52" i="15"/>
  <c r="G60" i="15" s="1"/>
  <c r="O52" i="15"/>
  <c r="O60" i="15" s="1"/>
  <c r="D53" i="15"/>
  <c r="L53" i="15"/>
  <c r="L61" i="15" s="1"/>
  <c r="T53" i="15"/>
  <c r="T61" i="15" s="1"/>
  <c r="I54" i="15"/>
  <c r="I62" i="15" s="1"/>
  <c r="Q54" i="15"/>
  <c r="Q62" i="15" s="1"/>
  <c r="P50" i="15"/>
  <c r="P58" i="15" s="1"/>
  <c r="H52" i="15"/>
  <c r="H60" i="15" s="1"/>
  <c r="M53" i="15"/>
  <c r="M61" i="15" s="1"/>
  <c r="J54" i="15"/>
  <c r="J62" i="15" s="1"/>
  <c r="R54" i="15"/>
  <c r="R62" i="15" s="1"/>
  <c r="D59" i="15"/>
  <c r="S54" i="15"/>
  <c r="S62" i="15" s="1"/>
  <c r="T54" i="15"/>
  <c r="T62" i="15" s="1"/>
  <c r="J7" i="14"/>
  <c r="X60" i="13"/>
  <c r="G7" i="14"/>
  <c r="H8" i="14"/>
  <c r="J8" i="14" s="1"/>
  <c r="H6" i="14"/>
  <c r="J6" i="14" s="1"/>
  <c r="F9" i="14"/>
  <c r="H5" i="14"/>
  <c r="J5" i="14" s="1"/>
  <c r="G6" i="14"/>
  <c r="H4" i="14"/>
  <c r="E9" i="14"/>
  <c r="E11" i="14" s="1"/>
  <c r="X58" i="13"/>
  <c r="D9" i="14"/>
  <c r="D11" i="14" l="1"/>
  <c r="F13" i="14"/>
  <c r="E72" i="15"/>
  <c r="G72" i="15"/>
  <c r="F71" i="15"/>
  <c r="G71" i="15"/>
  <c r="D71" i="15"/>
  <c r="D75" i="15" s="1"/>
  <c r="E71" i="15"/>
  <c r="G10" i="15"/>
  <c r="X54" i="15"/>
  <c r="X50" i="15"/>
  <c r="D58" i="15"/>
  <c r="X58" i="15" s="1"/>
  <c r="X59" i="15"/>
  <c r="X53" i="15"/>
  <c r="D61" i="15"/>
  <c r="X61" i="15" s="1"/>
  <c r="H10" i="15"/>
  <c r="D60" i="15"/>
  <c r="X60" i="15" s="1"/>
  <c r="X52" i="15"/>
  <c r="X62" i="15"/>
  <c r="X51" i="15"/>
  <c r="E10" i="14"/>
  <c r="E12" i="14"/>
  <c r="F10" i="14"/>
  <c r="F12" i="14"/>
  <c r="F11" i="14"/>
  <c r="G75" i="15" l="1"/>
  <c r="K6" i="17"/>
  <c r="K10" i="17" s="1"/>
  <c r="K12" i="17" s="1"/>
  <c r="E75" i="15"/>
  <c r="I6" i="17"/>
  <c r="I10" i="17" s="1"/>
  <c r="F75" i="15"/>
  <c r="J6" i="17"/>
  <c r="J10" i="17" s="1"/>
  <c r="J12" i="17" s="1"/>
  <c r="G9" i="14"/>
  <c r="G11" i="14" s="1"/>
  <c r="G10" i="14"/>
  <c r="H10" i="14"/>
  <c r="J4" i="14"/>
  <c r="H9" i="14"/>
  <c r="I13" i="17" l="1"/>
  <c r="I12" i="17"/>
  <c r="G12" i="14"/>
  <c r="H12" i="14"/>
  <c r="H11" i="14"/>
  <c r="J9" i="14"/>
  <c r="J10" i="14"/>
  <c r="V14" i="1"/>
  <c r="T15" i="1"/>
  <c r="T16" i="1"/>
  <c r="U16" i="1"/>
  <c r="V16" i="1"/>
  <c r="W16" i="1"/>
  <c r="X16" i="1"/>
  <c r="Y16" i="1"/>
  <c r="Z16" i="1"/>
  <c r="T19" i="9" l="1"/>
  <c r="T27" i="9" l="1"/>
  <c r="T28" i="9"/>
  <c r="T29" i="9"/>
  <c r="T25" i="9"/>
  <c r="T26" i="9"/>
  <c r="S19" i="9"/>
  <c r="T5" i="9"/>
  <c r="S5" i="9"/>
  <c r="U5" i="9"/>
  <c r="V5" i="9"/>
  <c r="W5" i="9"/>
  <c r="X5" i="9"/>
  <c r="S6" i="9"/>
  <c r="T6" i="9"/>
  <c r="U6" i="9"/>
  <c r="V6" i="9"/>
  <c r="W6" i="9"/>
  <c r="X6" i="9"/>
  <c r="S7" i="9"/>
  <c r="T7" i="9"/>
  <c r="U7" i="9"/>
  <c r="V7" i="9"/>
  <c r="W7" i="9"/>
  <c r="X7" i="9"/>
  <c r="S8" i="9"/>
  <c r="T8" i="9"/>
  <c r="U8" i="9"/>
  <c r="V8" i="9"/>
  <c r="W8" i="9"/>
  <c r="X8" i="9"/>
  <c r="S9" i="9"/>
  <c r="T9" i="9"/>
  <c r="U9" i="9"/>
  <c r="V9" i="9"/>
  <c r="W9" i="9"/>
  <c r="X9" i="9"/>
  <c r="J43" i="9"/>
  <c r="J42" i="9"/>
  <c r="J41" i="9"/>
  <c r="J40" i="9"/>
  <c r="J39" i="9"/>
  <c r="U15" i="1"/>
  <c r="V15" i="1"/>
  <c r="W15" i="1"/>
  <c r="X15" i="1"/>
  <c r="Y15" i="1"/>
  <c r="Z15" i="1"/>
  <c r="W14" i="9" l="1"/>
  <c r="X14" i="9"/>
  <c r="W11" i="9"/>
  <c r="X11" i="9"/>
  <c r="O10" i="9"/>
  <c r="O10" i="18" s="1"/>
  <c r="P10" i="9"/>
  <c r="P10" i="18" s="1"/>
  <c r="O6" i="7"/>
  <c r="P6" i="7"/>
  <c r="Y6" i="1"/>
  <c r="Z6" i="1"/>
  <c r="Y7" i="1"/>
  <c r="Z7" i="1"/>
  <c r="Y8" i="1"/>
  <c r="Z8" i="1"/>
  <c r="Y9" i="1"/>
  <c r="Z9" i="1"/>
  <c r="Y10" i="1"/>
  <c r="Z10" i="1"/>
  <c r="Y13" i="1"/>
  <c r="Z13" i="1"/>
  <c r="P5" i="12"/>
  <c r="P14" i="12" s="1"/>
  <c r="Q5" i="12"/>
  <c r="Q11" i="12" s="1"/>
  <c r="P6" i="12"/>
  <c r="Q6" i="12"/>
  <c r="P7" i="12"/>
  <c r="Q7" i="12"/>
  <c r="P8" i="12"/>
  <c r="Q8" i="12"/>
  <c r="P9" i="12"/>
  <c r="Q9" i="12"/>
  <c r="P10" i="12"/>
  <c r="Q10" i="12"/>
  <c r="P12" i="12"/>
  <c r="Q12" i="12"/>
  <c r="P13" i="12"/>
  <c r="Q13" i="12"/>
  <c r="G23" i="12"/>
  <c r="H23" i="12"/>
  <c r="G24" i="12"/>
  <c r="H24" i="12"/>
  <c r="G23" i="1"/>
  <c r="H23" i="1"/>
  <c r="G24" i="1"/>
  <c r="H24" i="1"/>
  <c r="G25" i="1"/>
  <c r="H25" i="1"/>
  <c r="W4" i="9"/>
  <c r="X4" i="9"/>
  <c r="P11" i="12" l="1"/>
  <c r="Q14" i="12"/>
  <c r="T14" i="9" l="1"/>
  <c r="U14" i="9"/>
  <c r="V14" i="9"/>
  <c r="T4" i="9" l="1"/>
  <c r="U4" i="9"/>
  <c r="V4" i="9"/>
  <c r="S4" i="9"/>
  <c r="D10" i="13"/>
  <c r="C10" i="13"/>
  <c r="D5" i="13" l="1"/>
  <c r="D9" i="13" s="1"/>
  <c r="D11" i="13" s="1"/>
  <c r="C5" i="13"/>
  <c r="C9" i="13" s="1"/>
  <c r="C11" i="13" s="1"/>
  <c r="T9" i="11" l="1"/>
  <c r="S9" i="11"/>
  <c r="R9" i="11"/>
  <c r="Q9" i="11"/>
  <c r="P9" i="11"/>
  <c r="O9" i="11"/>
  <c r="T8" i="11"/>
  <c r="T5" i="11" s="1"/>
  <c r="S8" i="11"/>
  <c r="S5" i="11" s="1"/>
  <c r="R8" i="11"/>
  <c r="R5" i="11" s="1"/>
  <c r="Q8" i="11"/>
  <c r="P8" i="11"/>
  <c r="O8" i="11"/>
  <c r="Q5" i="11"/>
  <c r="P5" i="11"/>
  <c r="O5" i="11"/>
  <c r="T5" i="10"/>
  <c r="S5" i="10"/>
  <c r="R5" i="10"/>
  <c r="T9" i="10"/>
  <c r="S9" i="10"/>
  <c r="R9" i="10"/>
  <c r="Q9" i="10"/>
  <c r="P9" i="10"/>
  <c r="O9" i="10"/>
  <c r="T8" i="10"/>
  <c r="S8" i="10"/>
  <c r="R8" i="10"/>
  <c r="Q8" i="10"/>
  <c r="Q5" i="10" s="1"/>
  <c r="P8" i="10"/>
  <c r="P5" i="10" s="1"/>
  <c r="O8" i="10"/>
  <c r="O5" i="10" s="1"/>
  <c r="B27" i="12"/>
  <c r="K9" i="12" s="1"/>
  <c r="F24" i="12"/>
  <c r="E24" i="12"/>
  <c r="D24" i="12"/>
  <c r="C24" i="12"/>
  <c r="B24" i="12"/>
  <c r="F23" i="12"/>
  <c r="E23" i="12"/>
  <c r="D23" i="12"/>
  <c r="C23" i="12"/>
  <c r="L7" i="12" s="1"/>
  <c r="B23" i="12"/>
  <c r="K7" i="12" s="1"/>
  <c r="O13" i="12"/>
  <c r="M10" i="12"/>
  <c r="L10" i="12"/>
  <c r="O9" i="12"/>
  <c r="M8" i="12"/>
  <c r="L8" i="12"/>
  <c r="O6" i="12"/>
  <c r="E9" i="11"/>
  <c r="F9" i="11"/>
  <c r="G9" i="11"/>
  <c r="H9" i="11"/>
  <c r="I9" i="11"/>
  <c r="J9" i="11"/>
  <c r="D9" i="11"/>
  <c r="J8" i="11"/>
  <c r="J5" i="11" s="1"/>
  <c r="I8" i="11"/>
  <c r="I5" i="11" s="1"/>
  <c r="H8" i="11"/>
  <c r="G8" i="11"/>
  <c r="G5" i="11" s="1"/>
  <c r="F8" i="11"/>
  <c r="E8" i="11"/>
  <c r="E5" i="11" s="1"/>
  <c r="D8" i="11"/>
  <c r="D5" i="11" s="1"/>
  <c r="H5" i="11"/>
  <c r="F5" i="11"/>
  <c r="I5" i="10"/>
  <c r="D9" i="10"/>
  <c r="E9" i="10"/>
  <c r="F9" i="10"/>
  <c r="G9" i="10"/>
  <c r="H9" i="10"/>
  <c r="I9" i="10"/>
  <c r="J9" i="10"/>
  <c r="E8" i="10"/>
  <c r="E5" i="10" s="1"/>
  <c r="F8" i="10"/>
  <c r="F5" i="10" s="1"/>
  <c r="G8" i="10"/>
  <c r="G5" i="10" s="1"/>
  <c r="H8" i="10"/>
  <c r="H5" i="10" s="1"/>
  <c r="I8" i="10"/>
  <c r="J8" i="10"/>
  <c r="J5" i="10" s="1"/>
  <c r="D8" i="10"/>
  <c r="D5" i="10" s="1"/>
  <c r="J6" i="9"/>
  <c r="R6" i="9" s="1"/>
  <c r="J7" i="9"/>
  <c r="R7" i="9" s="1"/>
  <c r="J8" i="9"/>
  <c r="R8" i="9" s="1"/>
  <c r="J9" i="9"/>
  <c r="R9" i="9" s="1"/>
  <c r="J10" i="9"/>
  <c r="R10" i="9" s="1"/>
  <c r="J5" i="9"/>
  <c r="R5" i="9" s="1"/>
  <c r="N7" i="12" l="1"/>
  <c r="L6" i="12"/>
  <c r="L9" i="12"/>
  <c r="L13" i="12"/>
  <c r="K10" i="12"/>
  <c r="N6" i="12"/>
  <c r="N9" i="12"/>
  <c r="N13" i="12"/>
  <c r="K8" i="12"/>
  <c r="K6" i="12"/>
  <c r="N8" i="12"/>
  <c r="N10" i="12"/>
  <c r="M7" i="12"/>
  <c r="O8" i="12"/>
  <c r="O10" i="12"/>
  <c r="K13" i="12"/>
  <c r="O7" i="12"/>
  <c r="M6" i="12"/>
  <c r="M9" i="12"/>
  <c r="M13" i="12"/>
  <c r="B13" i="7"/>
  <c r="N6" i="7"/>
  <c r="J6" i="7"/>
  <c r="K6" i="7" l="1"/>
  <c r="M6" i="7"/>
  <c r="L6" i="7"/>
  <c r="K12" i="12"/>
  <c r="K5" i="12"/>
  <c r="O5" i="12"/>
  <c r="O12" i="12"/>
  <c r="L5" i="12"/>
  <c r="L12" i="12"/>
  <c r="B27" i="1"/>
  <c r="M13" i="1" s="1"/>
  <c r="V13" i="1" s="1"/>
  <c r="E4" i="13" l="1"/>
  <c r="Q5" i="1"/>
  <c r="Q9" i="1"/>
  <c r="Q13" i="1"/>
  <c r="P6" i="1"/>
  <c r="P10" i="1"/>
  <c r="P5" i="1"/>
  <c r="P13" i="1"/>
  <c r="Q6" i="1"/>
  <c r="Q10" i="1"/>
  <c r="P9" i="1"/>
  <c r="P7" i="1"/>
  <c r="Q8" i="1"/>
  <c r="Q12" i="1"/>
  <c r="Z12" i="1" s="1"/>
  <c r="Q7" i="1"/>
  <c r="P8" i="1"/>
  <c r="P12" i="1"/>
  <c r="Y12" i="1" s="1"/>
  <c r="O10" i="1"/>
  <c r="X10" i="1" s="1"/>
  <c r="N13" i="1"/>
  <c r="W13" i="1" s="1"/>
  <c r="O6" i="1"/>
  <c r="X6" i="1" s="1"/>
  <c r="N6" i="1"/>
  <c r="W6" i="1" s="1"/>
  <c r="E5" i="13"/>
  <c r="F5" i="13" s="1"/>
  <c r="G5" i="13" s="1"/>
  <c r="H5" i="13" s="1"/>
  <c r="J5" i="13" s="1"/>
  <c r="M6" i="1"/>
  <c r="V6" i="1" s="1"/>
  <c r="N10" i="1"/>
  <c r="W10" i="1" s="1"/>
  <c r="M10" i="1"/>
  <c r="V10" i="1" s="1"/>
  <c r="E6" i="13"/>
  <c r="F6" i="13" s="1"/>
  <c r="G6" i="13" s="1"/>
  <c r="H6" i="13" s="1"/>
  <c r="J6" i="13" s="1"/>
  <c r="E8" i="13"/>
  <c r="F8" i="13" s="1"/>
  <c r="G8" i="13" s="1"/>
  <c r="H8" i="13" s="1"/>
  <c r="J8" i="13" s="1"/>
  <c r="E7" i="13"/>
  <c r="F7" i="13" s="1"/>
  <c r="G7" i="13" s="1"/>
  <c r="H7" i="13" s="1"/>
  <c r="J7" i="13" s="1"/>
  <c r="O6" i="11"/>
  <c r="F6" i="10"/>
  <c r="S6" i="11"/>
  <c r="T6" i="10"/>
  <c r="G6" i="10"/>
  <c r="R6" i="11"/>
  <c r="H6" i="10"/>
  <c r="Q6" i="11"/>
  <c r="P6" i="11"/>
  <c r="I6" i="11"/>
  <c r="I6" i="10"/>
  <c r="F6" i="11"/>
  <c r="D6" i="11"/>
  <c r="D6" i="10"/>
  <c r="G6" i="11"/>
  <c r="R6" i="10"/>
  <c r="J6" i="11"/>
  <c r="H6" i="11"/>
  <c r="S6" i="10"/>
  <c r="T6" i="11"/>
  <c r="Q6" i="10"/>
  <c r="P6" i="10"/>
  <c r="E6" i="11"/>
  <c r="O6" i="10"/>
  <c r="E6" i="10"/>
  <c r="J6" i="10"/>
  <c r="O8" i="1"/>
  <c r="X8" i="1" s="1"/>
  <c r="K6" i="1"/>
  <c r="T6" i="1" s="1"/>
  <c r="N8" i="1"/>
  <c r="W8" i="1" s="1"/>
  <c r="S11" i="9"/>
  <c r="O13" i="1"/>
  <c r="X13" i="1" s="1"/>
  <c r="M8" i="1"/>
  <c r="V8" i="1" s="1"/>
  <c r="V11" i="9"/>
  <c r="F4" i="13"/>
  <c r="M12" i="12"/>
  <c r="T11" i="9"/>
  <c r="N5" i="12"/>
  <c r="M10" i="9" s="1"/>
  <c r="M10" i="18" s="1"/>
  <c r="U11" i="9"/>
  <c r="K10" i="9"/>
  <c r="K10" i="18" s="1"/>
  <c r="N10" i="9"/>
  <c r="N10" i="18" s="1"/>
  <c r="N12" i="12"/>
  <c r="M5" i="12"/>
  <c r="L14" i="12"/>
  <c r="L11" i="12"/>
  <c r="N11" i="12"/>
  <c r="O14" i="12"/>
  <c r="O11" i="12"/>
  <c r="K11" i="12"/>
  <c r="K14" i="12"/>
  <c r="K8" i="1"/>
  <c r="T8" i="1" s="1"/>
  <c r="L13" i="1"/>
  <c r="U13" i="1" s="1"/>
  <c r="L8" i="1"/>
  <c r="U8" i="1" s="1"/>
  <c r="K9" i="1"/>
  <c r="T9" i="1" s="1"/>
  <c r="O9" i="1"/>
  <c r="X9" i="1" s="1"/>
  <c r="K10" i="1"/>
  <c r="T10" i="1" s="1"/>
  <c r="N9" i="1"/>
  <c r="W9" i="1" s="1"/>
  <c r="L10" i="1"/>
  <c r="U10" i="1" s="1"/>
  <c r="L6" i="1"/>
  <c r="U6" i="1" s="1"/>
  <c r="M9" i="1"/>
  <c r="V9" i="1" s="1"/>
  <c r="K13" i="1"/>
  <c r="T13" i="1" s="1"/>
  <c r="L9" i="1"/>
  <c r="U9" i="1" s="1"/>
  <c r="C24" i="1"/>
  <c r="D24" i="1"/>
  <c r="E24" i="1"/>
  <c r="F24" i="1"/>
  <c r="B24" i="1"/>
  <c r="C23" i="1"/>
  <c r="L7" i="1" s="1"/>
  <c r="U7" i="1" s="1"/>
  <c r="D23" i="1"/>
  <c r="M7" i="1" s="1"/>
  <c r="V7" i="1" s="1"/>
  <c r="E23" i="1"/>
  <c r="N7" i="1" s="1"/>
  <c r="W7" i="1" s="1"/>
  <c r="F23" i="1"/>
  <c r="O7" i="1" s="1"/>
  <c r="X7" i="1" s="1"/>
  <c r="Y5" i="1" l="1"/>
  <c r="G10" i="9"/>
  <c r="Z5" i="1"/>
  <c r="H10" i="9"/>
  <c r="E10" i="13"/>
  <c r="P14" i="1"/>
  <c r="Y14" i="1" s="1"/>
  <c r="P11" i="1"/>
  <c r="Y11" i="1" s="1"/>
  <c r="Q14" i="1"/>
  <c r="Z14" i="1" s="1"/>
  <c r="Q11" i="1"/>
  <c r="Z11" i="1" s="1"/>
  <c r="E9" i="13"/>
  <c r="G4" i="13"/>
  <c r="F10" i="13"/>
  <c r="F9" i="13"/>
  <c r="F12" i="13" s="1"/>
  <c r="M14" i="12"/>
  <c r="L10" i="9"/>
  <c r="L10" i="18" s="1"/>
  <c r="N14" i="12"/>
  <c r="M11" i="12"/>
  <c r="E25" i="1"/>
  <c r="N12" i="1" s="1"/>
  <c r="W12" i="1" s="1"/>
  <c r="F25" i="1"/>
  <c r="D25" i="1"/>
  <c r="C25" i="1"/>
  <c r="L12" i="1" s="1"/>
  <c r="U12" i="1" s="1"/>
  <c r="B25" i="1"/>
  <c r="K12" i="1" s="1"/>
  <c r="T12" i="1" s="1"/>
  <c r="X10" i="9" l="1"/>
  <c r="X12" i="9" s="1"/>
  <c r="X15" i="9" s="1"/>
  <c r="H10" i="18"/>
  <c r="X10" i="18" s="1"/>
  <c r="X12" i="18" s="1"/>
  <c r="X15" i="18" s="1"/>
  <c r="W10" i="9"/>
  <c r="W12" i="9" s="1"/>
  <c r="G10" i="18"/>
  <c r="W10" i="18" s="1"/>
  <c r="W12" i="18" s="1"/>
  <c r="W15" i="18" s="1"/>
  <c r="E12" i="13"/>
  <c r="E11" i="13"/>
  <c r="F11" i="13"/>
  <c r="H4" i="13"/>
  <c r="G9" i="13"/>
  <c r="G12" i="13" s="1"/>
  <c r="G10" i="13"/>
  <c r="L5" i="1"/>
  <c r="U5" i="1" s="1"/>
  <c r="N5" i="1"/>
  <c r="W5" i="1" s="1"/>
  <c r="K5" i="1"/>
  <c r="O12" i="1"/>
  <c r="X12" i="1" s="1"/>
  <c r="O5" i="1"/>
  <c r="X5" i="1" s="1"/>
  <c r="M12" i="1"/>
  <c r="V12" i="1" s="1"/>
  <c r="M5" i="1"/>
  <c r="V5" i="1" s="1"/>
  <c r="H9" i="13" l="1"/>
  <c r="H12" i="13" s="1"/>
  <c r="J4" i="13"/>
  <c r="H10" i="13"/>
  <c r="G11" i="13"/>
  <c r="B10" i="9"/>
  <c r="B10" i="18" s="1"/>
  <c r="T5" i="1"/>
  <c r="M11" i="1"/>
  <c r="V11" i="1" s="1"/>
  <c r="D10" i="9"/>
  <c r="O11" i="1"/>
  <c r="X11" i="1" s="1"/>
  <c r="F10" i="9"/>
  <c r="N11" i="1"/>
  <c r="W11" i="1" s="1"/>
  <c r="E10" i="9"/>
  <c r="L11" i="1"/>
  <c r="U11" i="1" s="1"/>
  <c r="C10" i="9"/>
  <c r="O14" i="1"/>
  <c r="X14" i="1" s="1"/>
  <c r="B23" i="1"/>
  <c r="K7" i="1" s="1"/>
  <c r="T7" i="1" s="1"/>
  <c r="S10" i="9" l="1"/>
  <c r="S12" i="9" s="1"/>
  <c r="C10" i="18"/>
  <c r="S10" i="18" s="1"/>
  <c r="S12" i="18" s="1"/>
  <c r="U10" i="9"/>
  <c r="U12" i="9" s="1"/>
  <c r="E10" i="18"/>
  <c r="U10" i="18" s="1"/>
  <c r="U12" i="18" s="1"/>
  <c r="U15" i="18" s="1"/>
  <c r="T10" i="9"/>
  <c r="D10" i="18"/>
  <c r="T10" i="18" s="1"/>
  <c r="T12" i="18" s="1"/>
  <c r="V10" i="9"/>
  <c r="V12" i="9" s="1"/>
  <c r="V15" i="9" s="1"/>
  <c r="F10" i="18"/>
  <c r="V10" i="18" s="1"/>
  <c r="V12" i="18" s="1"/>
  <c r="V15" i="18" s="1"/>
  <c r="W15" i="9"/>
  <c r="H11" i="13"/>
  <c r="J10" i="13"/>
  <c r="J9" i="13"/>
  <c r="U15" i="9"/>
  <c r="L14" i="1"/>
  <c r="U14" i="1" s="1"/>
  <c r="M14" i="1"/>
  <c r="N14" i="1"/>
  <c r="W14" i="1" s="1"/>
  <c r="K14" i="1"/>
  <c r="T14" i="1" s="1"/>
  <c r="K11" i="1"/>
  <c r="T11" i="1" s="1"/>
  <c r="T18" i="18" l="1"/>
  <c r="T20" i="18" s="1"/>
  <c r="T15" i="18"/>
  <c r="S18" i="18"/>
  <c r="T12" i="9"/>
  <c r="S20" i="18" l="1"/>
  <c r="T15" i="9"/>
  <c r="T18" i="9"/>
  <c r="T20" i="9" s="1"/>
  <c r="S20" i="9" l="1"/>
  <c r="S18" i="19" l="1"/>
  <c r="S20" i="1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Bistline, John</author>
  </authors>
  <commentList>
    <comment ref="A1" authorId="0" shapeId="0" xr:uid="{14560A34-F78B-4BB0-9288-F874A36956E5}">
      <text>
        <r>
          <rPr>
            <b/>
            <sz val="9"/>
            <color indexed="81"/>
            <rFont val="Tahoma"/>
            <family val="2"/>
          </rPr>
          <t>Bistline, John:</t>
        </r>
        <r>
          <rPr>
            <sz val="9"/>
            <color indexed="81"/>
            <rFont val="Tahoma"/>
            <family val="2"/>
          </rPr>
          <t xml:space="preserve">
expend_agg() in enduse_genmodel_out_%scen%.gdx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Bistline, John</author>
  </authors>
  <commentList>
    <comment ref="A35" authorId="0" shapeId="0" xr:uid="{0AC92EAB-5C93-4D5A-AF99-551438B833E5}">
      <text>
        <r>
          <rPr>
            <b/>
            <sz val="9"/>
            <color indexed="81"/>
            <rFont val="Tahoma"/>
            <family val="2"/>
          </rPr>
          <t>Bistline, John:</t>
        </r>
        <r>
          <rPr>
            <sz val="9"/>
            <color indexed="81"/>
            <rFont val="Tahoma"/>
            <family val="2"/>
          </rPr>
          <t xml:space="preserve">
From Excel graphical reporting spreadsheet.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Bistline, John</author>
  </authors>
  <commentList>
    <comment ref="A35" authorId="0" shapeId="0" xr:uid="{A366EFE9-8BC4-40F4-8EB2-F076341718A8}">
      <text>
        <r>
          <rPr>
            <b/>
            <sz val="9"/>
            <color indexed="81"/>
            <rFont val="Tahoma"/>
            <family val="2"/>
          </rPr>
          <t>Bistline, John:</t>
        </r>
        <r>
          <rPr>
            <sz val="9"/>
            <color indexed="81"/>
            <rFont val="Tahoma"/>
            <family val="2"/>
          </rPr>
          <t xml:space="preserve">
From Excel graphical reporting spreadsheet.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Bistline, John</author>
  </authors>
  <commentList>
    <comment ref="A1" authorId="0" shapeId="0" xr:uid="{7C534F42-0FC0-46E8-B5B8-E3B3BB9E415F}">
      <text>
        <r>
          <rPr>
            <b/>
            <sz val="9"/>
            <color indexed="81"/>
            <rFont val="Tahoma"/>
            <family val="2"/>
          </rPr>
          <t>Bistline, John:</t>
        </r>
        <r>
          <rPr>
            <sz val="9"/>
            <color indexed="81"/>
            <rFont val="Tahoma"/>
            <family val="2"/>
          </rPr>
          <t xml:space="preserve">
expend_bld("upfront_total") in enduse_genmodel_out_%scen%.gdx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Bistline, John</author>
  </authors>
  <commentList>
    <comment ref="A1" authorId="0" shapeId="0" xr:uid="{ABBC2441-03A2-42EE-A1EA-23936524D86C}">
      <text>
        <r>
          <rPr>
            <b/>
            <sz val="9"/>
            <color indexed="81"/>
            <rFont val="Tahoma"/>
            <family val="2"/>
          </rPr>
          <t>Bistline, John:</t>
        </r>
        <r>
          <rPr>
            <sz val="9"/>
            <color indexed="81"/>
            <rFont val="Tahoma"/>
            <family val="2"/>
          </rPr>
          <t xml:space="preserve">
expend_ldv("upfront_total") in enduse_genmodel_out_%scen%.gdx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Bistline, John</author>
  </authors>
  <commentList>
    <comment ref="A1" authorId="0" shapeId="0" xr:uid="{5E229A95-FC7C-4F33-A2CB-9B2A60138627}">
      <text>
        <r>
          <rPr>
            <b/>
            <sz val="9"/>
            <color indexed="81"/>
            <rFont val="Tahoma"/>
            <family val="2"/>
          </rPr>
          <t>Bistline, John:</t>
        </r>
        <r>
          <rPr>
            <sz val="9"/>
            <color indexed="81"/>
            <rFont val="Tahoma"/>
            <family val="2"/>
          </rPr>
          <t xml:space="preserve">
expend_agg() in enduse_genmodel_out_%scen%.gdx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Bistline, John</author>
  </authors>
  <commentList>
    <comment ref="C2" authorId="0" shapeId="0" xr:uid="{10F92A7F-3FEA-4FCF-8FA3-F0B6EE8E688C}">
      <text>
        <r>
          <rPr>
            <b/>
            <sz val="9"/>
            <color indexed="81"/>
            <rFont val="Tahoma"/>
            <family val="2"/>
          </rPr>
          <t>Bistline, John:</t>
        </r>
        <r>
          <rPr>
            <sz val="9"/>
            <color indexed="81"/>
            <rFont val="Tahoma"/>
            <family val="2"/>
          </rPr>
          <t xml:space="preserve">
https://www.cbo.gov/system/files/2022-09/PL117-169_9-7-22.pdf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Bistline, John</author>
  </authors>
  <commentList>
    <comment ref="C2" authorId="0" shapeId="0" xr:uid="{9BD13EEB-EBE2-4825-9CCC-752E8E6AC111}">
      <text>
        <r>
          <rPr>
            <b/>
            <sz val="9"/>
            <color indexed="81"/>
            <rFont val="Tahoma"/>
            <family val="2"/>
          </rPr>
          <t>Bistline, John:</t>
        </r>
        <r>
          <rPr>
            <sz val="9"/>
            <color indexed="81"/>
            <rFont val="Tahoma"/>
            <family val="2"/>
          </rPr>
          <t xml:space="preserve">
https://www.cbo.gov/system/files/2022-09/PL117-169_9-7-22.pdf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Bistline, John</author>
  </authors>
  <commentList>
    <comment ref="C2" authorId="0" shapeId="0" xr:uid="{A5C35363-6598-42EC-A7F9-2728AD6F61BF}">
      <text>
        <r>
          <rPr>
            <b/>
            <sz val="9"/>
            <color indexed="81"/>
            <rFont val="Tahoma"/>
            <family val="2"/>
          </rPr>
          <t>Bistline, John:</t>
        </r>
        <r>
          <rPr>
            <sz val="9"/>
            <color indexed="81"/>
            <rFont val="Tahoma"/>
            <family val="2"/>
          </rPr>
          <t xml:space="preserve">
https://www.cbo.gov/system/files/2022-09/PL117-169_9-7-22.pdf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Bistline, John</author>
  </authors>
  <commentList>
    <comment ref="C2" authorId="0" shapeId="0" xr:uid="{521C7A98-8F5C-4E4F-BD70-8B52EF026B68}">
      <text>
        <r>
          <rPr>
            <b/>
            <sz val="9"/>
            <color indexed="81"/>
            <rFont val="Tahoma"/>
            <family val="2"/>
          </rPr>
          <t>Bistline, John:</t>
        </r>
        <r>
          <rPr>
            <sz val="9"/>
            <color indexed="81"/>
            <rFont val="Tahoma"/>
            <family val="2"/>
          </rPr>
          <t xml:space="preserve">
https://www.cbo.gov/system/files/2022-09/PL117-169_9-7-22.pdf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Bistline, John</author>
  </authors>
  <commentList>
    <comment ref="B2" authorId="0" shapeId="0" xr:uid="{57356A92-8D07-4F59-BEF0-6A8A091F17E4}">
      <text>
        <r>
          <rPr>
            <b/>
            <sz val="9"/>
            <color indexed="81"/>
            <rFont val="Tahoma"/>
            <family val="2"/>
          </rPr>
          <t>Bistline, John:</t>
        </r>
        <r>
          <rPr>
            <sz val="9"/>
            <color indexed="81"/>
            <rFont val="Tahoma"/>
            <family val="2"/>
          </rPr>
          <t xml:space="preserve">
https://www.cbo.gov/system/files/2022-09/PL117-169_9-7-22.pdf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Bistline, John</author>
  </authors>
  <commentList>
    <comment ref="A1" authorId="0" shapeId="0" xr:uid="{2A9CE876-D9CC-4847-A3F1-6C68DEC20C6F}">
      <text>
        <r>
          <rPr>
            <b/>
            <sz val="9"/>
            <color indexed="81"/>
            <rFont val="Tahoma"/>
            <family val="2"/>
          </rPr>
          <t>Bistline, John:</t>
        </r>
        <r>
          <rPr>
            <sz val="9"/>
            <color indexed="81"/>
            <rFont val="Tahoma"/>
            <family val="2"/>
          </rPr>
          <t xml:space="preserve">
rpt_taxcr("undisc_ann")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Bistline, John</author>
  </authors>
  <commentList>
    <comment ref="A35" authorId="0" shapeId="0" xr:uid="{B397B71D-2EB2-4660-AF84-3B664681A406}">
      <text>
        <r>
          <rPr>
            <b/>
            <sz val="9"/>
            <color indexed="81"/>
            <rFont val="Tahoma"/>
            <family val="2"/>
          </rPr>
          <t>Bistline, John:</t>
        </r>
        <r>
          <rPr>
            <sz val="9"/>
            <color indexed="81"/>
            <rFont val="Tahoma"/>
            <family val="2"/>
          </rPr>
          <t xml:space="preserve">
From Excel graphical reporting spreadsheet.</t>
        </r>
      </text>
    </comment>
  </commentList>
</comments>
</file>

<file path=xl/sharedStrings.xml><?xml version="1.0" encoding="utf-8"?>
<sst xmlns="http://schemas.openxmlformats.org/spreadsheetml/2006/main" count="1028" uniqueCount="153">
  <si>
    <t>gas</t>
  </si>
  <si>
    <t>ele</t>
  </si>
  <si>
    <t>nele_net</t>
  </si>
  <si>
    <t>ctaxrev</t>
  </si>
  <si>
    <t>nele</t>
  </si>
  <si>
    <t>resnon</t>
  </si>
  <si>
    <t>comnon</t>
  </si>
  <si>
    <t>indnon</t>
  </si>
  <si>
    <t>ldvnon</t>
  </si>
  <si>
    <t>mdhdnon</t>
  </si>
  <si>
    <t>totnon</t>
  </si>
  <si>
    <t>tot</t>
  </si>
  <si>
    <t>ctaxrev-ele</t>
  </si>
  <si>
    <t>ele_net</t>
  </si>
  <si>
    <t>gas_net</t>
  </si>
  <si>
    <t>FIGURE</t>
  </si>
  <si>
    <t>ctaxrev-nele</t>
  </si>
  <si>
    <t>othnele_net</t>
  </si>
  <si>
    <t>ctaexrev-othnele</t>
  </si>
  <si>
    <t>Buildings Non-Energy</t>
  </si>
  <si>
    <t>Industry Non-Energy</t>
  </si>
  <si>
    <t>Transport Non-Energy</t>
  </si>
  <si>
    <t>itc_tr</t>
  </si>
  <si>
    <t>itc_oth</t>
  </si>
  <si>
    <t>itc_stor</t>
  </si>
  <si>
    <t>ptc</t>
  </si>
  <si>
    <t>45q</t>
  </si>
  <si>
    <t>Net</t>
  </si>
  <si>
    <t>ira_trn</t>
  </si>
  <si>
    <t>ira_bld</t>
  </si>
  <si>
    <t>Tax Credits Electric</t>
  </si>
  <si>
    <t>Tax Credits End-Use</t>
  </si>
  <si>
    <t>RAW</t>
  </si>
  <si>
    <t>Energy System Costs (billion 2022 USD)</t>
  </si>
  <si>
    <t>Energy System Costs (billion 2015 USD)</t>
  </si>
  <si>
    <t>taxcr_electric</t>
  </si>
  <si>
    <t>FRED Graph Observations</t>
  </si>
  <si>
    <t>Federal Reserve Economic Data</t>
  </si>
  <si>
    <t>Link: https://fred.stlouisfed.org</t>
  </si>
  <si>
    <t>Help: https://fredhelp.stlouisfed.org</t>
  </si>
  <si>
    <t>Economic Research Division</t>
  </si>
  <si>
    <t>Federal Reserve Bank of St. Louis</t>
  </si>
  <si>
    <t>GDPDEF</t>
  </si>
  <si>
    <t>Gross Domestic Product: Implicit Price Deflator, Index 2012=100, Annual, Seasonally Adjusted</t>
  </si>
  <si>
    <t>Frequency: Annual</t>
  </si>
  <si>
    <t>observation_date</t>
  </si>
  <si>
    <t>Use Q2 2022 for now</t>
  </si>
  <si>
    <t>GDPDEF (2022/2015)</t>
  </si>
  <si>
    <t>Electric (Pre-Subsidy)</t>
  </si>
  <si>
    <t>Natural Gas</t>
  </si>
  <si>
    <t>Petroleum and Other Fuels</t>
  </si>
  <si>
    <t>45v</t>
  </si>
  <si>
    <t>Power Sector Tax Credit Expenditures (billion 2010 USD per year)</t>
  </si>
  <si>
    <t>GDPDEF (2015/2010)</t>
  </si>
  <si>
    <t>Total Power Sector Credits (billion 2015 USD per year)</t>
  </si>
  <si>
    <t>Total Before IRA Subsidies</t>
  </si>
  <si>
    <t>Annual Electric Sector Expenditures (billion 2022 dollars per year)</t>
  </si>
  <si>
    <t>IRA</t>
  </si>
  <si>
    <t>Investment</t>
  </si>
  <si>
    <t>Fuel</t>
  </si>
  <si>
    <t>VOM</t>
  </si>
  <si>
    <t>FOM</t>
  </si>
  <si>
    <t>Other</t>
  </si>
  <si>
    <t>No IRA</t>
  </si>
  <si>
    <t>T&amp;D</t>
  </si>
  <si>
    <t>res</t>
  </si>
  <si>
    <t>wth</t>
  </si>
  <si>
    <t>NewEngland</t>
  </si>
  <si>
    <t>NewYork</t>
  </si>
  <si>
    <t>MidAtlantic</t>
  </si>
  <si>
    <t>SouthAtlantic</t>
  </si>
  <si>
    <t>Southeast</t>
  </si>
  <si>
    <t>Florida</t>
  </si>
  <si>
    <t>OhioValley</t>
  </si>
  <si>
    <t>MISO-East</t>
  </si>
  <si>
    <t>MISO-North</t>
  </si>
  <si>
    <t>MISO-South</t>
  </si>
  <si>
    <t>SPP</t>
  </si>
  <si>
    <t>Texas</t>
  </si>
  <si>
    <t>Mountain-N</t>
  </si>
  <si>
    <t>Mountain-S</t>
  </si>
  <si>
    <t>Pacific</t>
  </si>
  <si>
    <t>California</t>
  </si>
  <si>
    <t>dry</t>
  </si>
  <si>
    <t>ckg</t>
  </si>
  <si>
    <t>sphair</t>
  </si>
  <si>
    <t>com</t>
  </si>
  <si>
    <t>TOTAL</t>
  </si>
  <si>
    <t>2022 dollars</t>
  </si>
  <si>
    <t>2015 dollars</t>
  </si>
  <si>
    <t>ldv</t>
  </si>
  <si>
    <t>veh</t>
  </si>
  <si>
    <t>DIFF. FROM NO IRA</t>
  </si>
  <si>
    <t>Post-Subsidy Buildings Upfront Costs (billion USD)</t>
  </si>
  <si>
    <t>Post-Subsidy LDV Upfront Costs (billion USD)</t>
  </si>
  <si>
    <t>PTC</t>
  </si>
  <si>
    <t>ITC</t>
  </si>
  <si>
    <t>45Q</t>
  </si>
  <si>
    <t>Transport</t>
  </si>
  <si>
    <t>CBO/JCT</t>
  </si>
  <si>
    <t>Sec. 13104</t>
  </si>
  <si>
    <t>Sec. 13101, 13105, 13701</t>
  </si>
  <si>
    <t>Sec. 13102, 13702</t>
  </si>
  <si>
    <t>Sec. 13201-13204, 13401-13404, 13704</t>
  </si>
  <si>
    <t>Sec. 13301-13304, 13501-13502, 13703</t>
  </si>
  <si>
    <t>US-REGEN</t>
  </si>
  <si>
    <t>Power Share (%)</t>
  </si>
  <si>
    <t>Power Total</t>
  </si>
  <si>
    <t>Demand Share (%)</t>
  </si>
  <si>
    <t>2031-2040</t>
  </si>
  <si>
    <t>Diff</t>
  </si>
  <si>
    <t>Tax Credits</t>
  </si>
  <si>
    <t>Average Abatement Cost ($/t-CO2)</t>
  </si>
  <si>
    <t>CO2 Emissions (Mt-CO2/yr)</t>
  </si>
  <si>
    <t>TOTAL (Post-Subsidy + Credits)</t>
  </si>
  <si>
    <t>NPV TOTAL</t>
  </si>
  <si>
    <t>Average Abatement Cost</t>
  </si>
  <si>
    <t>Discount Factor (Reflects Number of Years)</t>
  </si>
  <si>
    <t>Discounted</t>
  </si>
  <si>
    <t>Undiscounted</t>
  </si>
  <si>
    <t>Total Undiscounted Fiscal Cost (billion 2022 USD for US-REGEN and nominal for CBO/JCT)</t>
  </si>
  <si>
    <t>Price Index</t>
  </si>
  <si>
    <t xml:space="preserve">I = </t>
  </si>
  <si>
    <t>Nominal</t>
  </si>
  <si>
    <t>Real (2022 USD)</t>
  </si>
  <si>
    <t>Annual (2022 USD)</t>
  </si>
  <si>
    <t>Total Undiscounted Fiscal Cost (Nominal)</t>
  </si>
  <si>
    <t>TOTAL (Subsidies)</t>
  </si>
  <si>
    <t>Times CBO Value</t>
  </si>
  <si>
    <t>rpt_taxcr("undisc_ann")</t>
  </si>
  <si>
    <t>45V</t>
  </si>
  <si>
    <t>expend_agg()</t>
  </si>
  <si>
    <t>SUM</t>
  </si>
  <si>
    <t>US-REGEN -- Nominal $B</t>
  </si>
  <si>
    <t>Other Tax Credit</t>
  </si>
  <si>
    <t>Direct</t>
  </si>
  <si>
    <t>US-REGEN Central</t>
  </si>
  <si>
    <t>Total - Tax Credit</t>
  </si>
  <si>
    <t>Total - All Climate</t>
  </si>
  <si>
    <t>Times CBO</t>
  </si>
  <si>
    <t>US-REGEN Lower</t>
  </si>
  <si>
    <t>US-REGEN Higher</t>
  </si>
  <si>
    <t>Annual Fiscal Cost in 2030 (Nominal)</t>
  </si>
  <si>
    <t>2030 Lower</t>
  </si>
  <si>
    <t>2030 Central</t>
  </si>
  <si>
    <t>2030 Higher</t>
  </si>
  <si>
    <t>Diff. from CBO</t>
  </si>
  <si>
    <t>drate</t>
  </si>
  <si>
    <t>NPV Total</t>
  </si>
  <si>
    <t>Average Abatement</t>
  </si>
  <si>
    <t>Average Abatement (Discounted Emissions)</t>
  </si>
  <si>
    <t>Discounted Emissions</t>
  </si>
  <si>
    <t>Cumulative CO2 Reduced (Gt-CO2)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</si>
</sst>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\-mm\-dd"/>
    <numFmt numFmtId="165" formatCode="0.000"/>
    <numFmt numFmtId="166" formatCode="0.0"/>
  </numFmts>
  <fonts count="8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3" fillId="0" borderId="0"/>
    <xf numFmtId="9" fontId="5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ill="1"/>
    <xf numFmtId="0" fontId="3" fillId="0" borderId="0" xfId="1"/>
    <xf numFmtId="164" fontId="3" fillId="0" borderId="0" xfId="1" applyNumberFormat="1"/>
    <xf numFmtId="165" fontId="3" fillId="0" borderId="0" xfId="1" applyNumberFormat="1"/>
    <xf numFmtId="165" fontId="3" fillId="0" borderId="0" xfId="2" applyNumberFormat="1"/>
    <xf numFmtId="165" fontId="0" fillId="0" borderId="0" xfId="0" applyNumberFormat="1"/>
    <xf numFmtId="166" fontId="0" fillId="0" borderId="0" xfId="0" applyNumberFormat="1"/>
    <xf numFmtId="0" fontId="0" fillId="2" borderId="0" xfId="0" applyFill="1"/>
    <xf numFmtId="166" fontId="0" fillId="2" borderId="0" xfId="0" applyNumberFormat="1" applyFill="1"/>
    <xf numFmtId="0" fontId="4" fillId="0" borderId="0" xfId="0" applyFont="1"/>
    <xf numFmtId="2" fontId="0" fillId="2" borderId="0" xfId="0" applyNumberFormat="1" applyFill="1"/>
    <xf numFmtId="9" fontId="0" fillId="0" borderId="0" xfId="3" applyFont="1"/>
    <xf numFmtId="166" fontId="0" fillId="0" borderId="0" xfId="0" applyNumberFormat="1" applyFill="1"/>
    <xf numFmtId="0" fontId="6" fillId="0" borderId="0" xfId="0" applyFont="1"/>
    <xf numFmtId="166" fontId="6" fillId="0" borderId="0" xfId="0" applyNumberFormat="1" applyFont="1"/>
    <xf numFmtId="9" fontId="0" fillId="2" borderId="0" xfId="3" applyFont="1" applyFill="1"/>
    <xf numFmtId="0" fontId="7" fillId="0" borderId="0" xfId="0" applyFont="1"/>
  </cellXfs>
  <cellStyles count="4">
    <cellStyle name="Normal" xfId="0" builtinId="0"/>
    <cellStyle name="Normal 2" xfId="1" xr:uid="{1EC066BB-BBDE-48AD-97DD-E03BC1E5C03B}"/>
    <cellStyle name="Normal 3 3" xfId="2" xr:uid="{5B90938D-FF53-4E49-BF60-ECC46507AA6A}"/>
    <cellStyle name="Percent" xfId="3" builtinId="5"/>
  </cellStyles>
  <dxfs count="0"/>
  <tableStyles count="0" defaultTableStyle="TableStyleMedium2" defaultPivotStyle="PivotStyleLight16"/>
  <colors>
    <mruColors>
      <color rgb="FFD9D9D9"/>
      <color rgb="FF9B3B40"/>
      <color rgb="FFFFE699"/>
      <color rgb="FFCA7378"/>
      <color rgb="FFA4C5CF"/>
      <color rgb="FF4F8A9E"/>
      <color rgb="FFE2F0D9"/>
      <color rgb="FFF5E5BD"/>
      <color rgb="FFF1CEB9"/>
      <color rgb="FFC55A1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'Economy - IRA'!$J$5</c:f>
              <c:strCache>
                <c:ptCount val="1"/>
                <c:pt idx="0">
                  <c:v>Electric (Pre-Subsidy)</c:v>
                </c:pt>
              </c:strCache>
            </c:strRef>
          </c:tx>
          <c:spPr>
            <a:solidFill>
              <a:srgbClr val="948BB3"/>
            </a:solidFill>
            <a:ln w="12700">
              <a:solidFill>
                <a:srgbClr val="948BB3"/>
              </a:solidFill>
            </a:ln>
            <a:effectLst/>
          </c:spPr>
          <c:invertIfNegative val="0"/>
          <c:cat>
            <c:numRef>
              <c:f>'Economy - IRA'!$K$4:$O$4</c:f>
              <c:numCache>
                <c:formatCode>General</c:formatCode>
                <c:ptCount val="5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</c:numCache>
            </c:numRef>
          </c:cat>
          <c:val>
            <c:numRef>
              <c:f>'Economy - IRA'!$K$5:$O$5</c:f>
              <c:numCache>
                <c:formatCode>0.0</c:formatCode>
                <c:ptCount val="5"/>
                <c:pt idx="0">
                  <c:v>422.00911978819067</c:v>
                </c:pt>
                <c:pt idx="1">
                  <c:v>499.90244673753119</c:v>
                </c:pt>
                <c:pt idx="2">
                  <c:v>516.76491995401921</c:v>
                </c:pt>
                <c:pt idx="3">
                  <c:v>527.36800240975333</c:v>
                </c:pt>
                <c:pt idx="4">
                  <c:v>534.1317722028972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6A-4CD3-B19F-76D120DEA075}"/>
            </c:ext>
          </c:extLst>
        </c:ser>
        <c:ser>
          <c:idx val="1"/>
          <c:order val="1"/>
          <c:tx>
            <c:v>Natural Gas</c:v>
          </c:tx>
          <c:spPr>
            <a:solidFill>
              <a:srgbClr val="ED7D31"/>
            </a:solidFill>
            <a:ln w="12700">
              <a:solidFill>
                <a:srgbClr val="ED7D31"/>
              </a:solidFill>
            </a:ln>
            <a:effectLst/>
          </c:spPr>
          <c:invertIfNegative val="0"/>
          <c:cat>
            <c:numRef>
              <c:f>'Economy - IRA'!$K$4:$O$4</c:f>
              <c:numCache>
                <c:formatCode>General</c:formatCode>
                <c:ptCount val="5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</c:numCache>
            </c:numRef>
          </c:cat>
          <c:val>
            <c:numRef>
              <c:f>'Economy - IRA'!$K$6:$O$6</c:f>
              <c:numCache>
                <c:formatCode>0.0</c:formatCode>
                <c:ptCount val="5"/>
                <c:pt idx="0">
                  <c:v>115.54711981621843</c:v>
                </c:pt>
                <c:pt idx="1">
                  <c:v>125.6786000506259</c:v>
                </c:pt>
                <c:pt idx="2">
                  <c:v>135.68946742509993</c:v>
                </c:pt>
                <c:pt idx="3">
                  <c:v>139.3078532231026</c:v>
                </c:pt>
                <c:pt idx="4">
                  <c:v>141.23765898203735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6A-4CD3-B19F-76D120DEA075}"/>
            </c:ext>
          </c:extLst>
        </c:ser>
        <c:ser>
          <c:idx val="3"/>
          <c:order val="2"/>
          <c:tx>
            <c:v>Petroleum and Other Fuels</c:v>
          </c:tx>
          <c:spPr>
            <a:solidFill>
              <a:srgbClr val="C55A11"/>
            </a:solidFill>
            <a:ln w="12700">
              <a:solidFill>
                <a:srgbClr val="C55A11"/>
              </a:solidFill>
            </a:ln>
            <a:effectLst/>
          </c:spPr>
          <c:invertIfNegative val="0"/>
          <c:cat>
            <c:numRef>
              <c:f>'Economy - IRA'!$K$4:$O$4</c:f>
              <c:numCache>
                <c:formatCode>General</c:formatCode>
                <c:ptCount val="5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</c:numCache>
            </c:numRef>
          </c:cat>
          <c:val>
            <c:numRef>
              <c:f>'Economy - IRA'!$K$7:$O$7</c:f>
              <c:numCache>
                <c:formatCode>0.0</c:formatCode>
                <c:ptCount val="5"/>
                <c:pt idx="0">
                  <c:v>724.76267533993393</c:v>
                </c:pt>
                <c:pt idx="1">
                  <c:v>685.68410872150503</c:v>
                </c:pt>
                <c:pt idx="2">
                  <c:v>644.55512348420802</c:v>
                </c:pt>
                <c:pt idx="3">
                  <c:v>596.06875379097244</c:v>
                </c:pt>
                <c:pt idx="4">
                  <c:v>535.03864666466075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6A-4CD3-B19F-76D120DEA075}"/>
            </c:ext>
          </c:extLst>
        </c:ser>
        <c:ser>
          <c:idx val="6"/>
          <c:order val="3"/>
          <c:tx>
            <c:strRef>
              <c:f>'Economy - IRA'!$J$8</c:f>
              <c:strCache>
                <c:ptCount val="1"/>
                <c:pt idx="0">
                  <c:v>Buildings Non-Energy</c:v>
                </c:pt>
              </c:strCache>
            </c:strRef>
          </c:tx>
          <c:spPr>
            <a:solidFill>
              <a:srgbClr val="F1CEB9"/>
            </a:solidFill>
            <a:ln w="12700">
              <a:solidFill>
                <a:schemeClr val="accent2"/>
              </a:solidFill>
            </a:ln>
            <a:effectLst/>
          </c:spPr>
          <c:invertIfNegative val="0"/>
          <c:cat>
            <c:numRef>
              <c:f>'Economy - IRA'!$K$4:$O$4</c:f>
              <c:numCache>
                <c:formatCode>General</c:formatCode>
                <c:ptCount val="5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</c:numCache>
            </c:numRef>
          </c:cat>
          <c:val>
            <c:numRef>
              <c:f>'Economy - IRA'!$K$8:$O$8</c:f>
              <c:numCache>
                <c:formatCode>0.0</c:formatCode>
                <c:ptCount val="5"/>
                <c:pt idx="0">
                  <c:v>267.39871047239694</c:v>
                </c:pt>
                <c:pt idx="1">
                  <c:v>271.86138628993359</c:v>
                </c:pt>
                <c:pt idx="2">
                  <c:v>265.34829185352879</c:v>
                </c:pt>
                <c:pt idx="3">
                  <c:v>272.1026120098004</c:v>
                </c:pt>
                <c:pt idx="4">
                  <c:v>272.70567630946749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66A-4CD3-B19F-76D120DEA075}"/>
            </c:ext>
          </c:extLst>
        </c:ser>
        <c:ser>
          <c:idx val="7"/>
          <c:order val="4"/>
          <c:tx>
            <c:strRef>
              <c:f>'Economy - IRA'!$J$9</c:f>
              <c:strCache>
                <c:ptCount val="1"/>
                <c:pt idx="0">
                  <c:v>Industry Non-Energy</c:v>
                </c:pt>
              </c:strCache>
            </c:strRef>
          </c:tx>
          <c:spPr>
            <a:solidFill>
              <a:srgbClr val="F5E5BD"/>
            </a:solidFill>
            <a:ln w="12700">
              <a:solidFill>
                <a:schemeClr val="accent4"/>
              </a:solidFill>
            </a:ln>
            <a:effectLst/>
          </c:spPr>
          <c:invertIfNegative val="0"/>
          <c:cat>
            <c:numRef>
              <c:f>'Economy - IRA'!$K$4:$O$4</c:f>
              <c:numCache>
                <c:formatCode>General</c:formatCode>
                <c:ptCount val="5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</c:numCache>
            </c:numRef>
          </c:cat>
          <c:val>
            <c:numRef>
              <c:f>'Economy - IRA'!$K$9:$O$9</c:f>
              <c:numCache>
                <c:formatCode>0.0</c:formatCode>
                <c:ptCount val="5"/>
                <c:pt idx="0">
                  <c:v>291.0388310193477</c:v>
                </c:pt>
                <c:pt idx="1">
                  <c:v>301.29092411368856</c:v>
                </c:pt>
                <c:pt idx="2">
                  <c:v>283.44022084354208</c:v>
                </c:pt>
                <c:pt idx="3">
                  <c:v>286.21431662201081</c:v>
                </c:pt>
                <c:pt idx="4">
                  <c:v>293.33047535808271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66A-4CD3-B19F-76D120DEA075}"/>
            </c:ext>
          </c:extLst>
        </c:ser>
        <c:ser>
          <c:idx val="8"/>
          <c:order val="5"/>
          <c:tx>
            <c:strRef>
              <c:f>'Economy - IRA'!$J$10</c:f>
              <c:strCache>
                <c:ptCount val="1"/>
                <c:pt idx="0">
                  <c:v>Transport Non-Energy</c:v>
                </c:pt>
              </c:strCache>
            </c:strRef>
          </c:tx>
          <c:spPr>
            <a:solidFill>
              <a:srgbClr val="DCEED2"/>
            </a:solidFill>
            <a:ln w="12700">
              <a:solidFill>
                <a:schemeClr val="accent6">
                  <a:lumMod val="75000"/>
                </a:schemeClr>
              </a:solidFill>
            </a:ln>
            <a:effectLst/>
          </c:spPr>
          <c:invertIfNegative val="0"/>
          <c:cat>
            <c:numRef>
              <c:f>'Economy - IRA'!$K$4:$O$4</c:f>
              <c:numCache>
                <c:formatCode>General</c:formatCode>
                <c:ptCount val="5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</c:numCache>
            </c:numRef>
          </c:cat>
          <c:val>
            <c:numRef>
              <c:f>'Economy - IRA'!$K$10:$O$10</c:f>
              <c:numCache>
                <c:formatCode>0.0</c:formatCode>
                <c:ptCount val="5"/>
                <c:pt idx="0">
                  <c:v>1802.0767402652605</c:v>
                </c:pt>
                <c:pt idx="1">
                  <c:v>1987.8205445627307</c:v>
                </c:pt>
                <c:pt idx="2">
                  <c:v>2058.8615190635164</c:v>
                </c:pt>
                <c:pt idx="3">
                  <c:v>2047.0414587900411</c:v>
                </c:pt>
                <c:pt idx="4">
                  <c:v>2128.3345263851675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66A-4CD3-B19F-76D120DEA075}"/>
            </c:ext>
          </c:extLst>
        </c:ser>
        <c:ser>
          <c:idx val="10"/>
          <c:order val="7"/>
          <c:tx>
            <c:v>Tax Credits Electric</c:v>
          </c:tx>
          <c:spPr>
            <a:solidFill>
              <a:schemeClr val="bg1">
                <a:lumMod val="65000"/>
              </a:schemeClr>
            </a:solidFill>
            <a:ln w="12700"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cat>
            <c:numRef>
              <c:f>'Economy - IRA'!$K$4:$O$4</c:f>
              <c:numCache>
                <c:formatCode>General</c:formatCode>
                <c:ptCount val="5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</c:numCache>
            </c:numRef>
          </c:cat>
          <c:val>
            <c:numRef>
              <c:f>'Economy - IRA'!$K$12:$O$12</c:f>
              <c:numCache>
                <c:formatCode>0.0</c:formatCode>
                <c:ptCount val="5"/>
                <c:pt idx="0">
                  <c:v>-8.5482359364194611</c:v>
                </c:pt>
                <c:pt idx="1">
                  <c:v>-17.451007003842491</c:v>
                </c:pt>
                <c:pt idx="2">
                  <c:v>-37.449414578599537</c:v>
                </c:pt>
                <c:pt idx="3">
                  <c:v>-43.831046936663846</c:v>
                </c:pt>
                <c:pt idx="4">
                  <c:v>-34.915144938462895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66A-4CD3-B19F-76D120DEA075}"/>
            </c:ext>
          </c:extLst>
        </c:ser>
        <c:ser>
          <c:idx val="11"/>
          <c:order val="8"/>
          <c:tx>
            <c:v>Tax Credits End-Use</c:v>
          </c:tx>
          <c:spPr>
            <a:solidFill>
              <a:schemeClr val="bg1">
                <a:lumMod val="85000"/>
              </a:schemeClr>
            </a:solidFill>
            <a:ln w="1270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numRef>
              <c:f>'Economy - IRA'!$K$4:$O$4</c:f>
              <c:numCache>
                <c:formatCode>General</c:formatCode>
                <c:ptCount val="5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</c:numCache>
            </c:numRef>
          </c:cat>
          <c:val>
            <c:numRef>
              <c:f>'Economy - IRA'!$K$13:$O$13</c:f>
              <c:numCache>
                <c:formatCode>0.0</c:formatCode>
                <c:ptCount val="5"/>
                <c:pt idx="0">
                  <c:v>0</c:v>
                </c:pt>
                <c:pt idx="1">
                  <c:v>-19.53928330921439</c:v>
                </c:pt>
                <c:pt idx="2">
                  <c:v>-71.402813080585915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66A-4CD3-B19F-76D120DEA0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6710816"/>
        <c:axId val="506714096"/>
        <c:extLst/>
      </c:barChart>
      <c:lineChart>
        <c:grouping val="standard"/>
        <c:varyColors val="0"/>
        <c:ser>
          <c:idx val="9"/>
          <c:order val="6"/>
          <c:tx>
            <c:v>Net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noFill/>
              <a:ln w="25400">
                <a:solidFill>
                  <a:schemeClr val="tx1"/>
                </a:solidFill>
              </a:ln>
              <a:effectLst/>
            </c:spPr>
          </c:marker>
          <c:cat>
            <c:numRef>
              <c:f>'Economy - IRA'!$K$4:$N$4</c:f>
              <c:numCache>
                <c:formatCode>General</c:formatCode>
                <c:ptCount val="4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</c:numCache>
            </c:numRef>
          </c:cat>
          <c:val>
            <c:numRef>
              <c:f>'Economy - IRA'!$K$14:$O$14</c:f>
              <c:numCache>
                <c:formatCode>0.0</c:formatCode>
                <c:ptCount val="5"/>
                <c:pt idx="0">
                  <c:v>3614.2849607649287</c:v>
                </c:pt>
                <c:pt idx="1">
                  <c:v>3835.2477201629586</c:v>
                </c:pt>
                <c:pt idx="2">
                  <c:v>3795.8073149647294</c:v>
                </c:pt>
                <c:pt idx="3">
                  <c:v>3824.2719499090167</c:v>
                </c:pt>
                <c:pt idx="4">
                  <c:v>3869.8636109638501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566A-4CD3-B19F-76D120DEA0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6710816"/>
        <c:axId val="506714096"/>
        <c:extLst/>
      </c:lineChart>
      <c:catAx>
        <c:axId val="506710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506714096"/>
        <c:crosses val="autoZero"/>
        <c:auto val="1"/>
        <c:lblAlgn val="ctr"/>
        <c:lblOffset val="100"/>
        <c:noMultiLvlLbl val="0"/>
      </c:catAx>
      <c:valAx>
        <c:axId val="5067140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5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Roboto" panose="02000000000000000000" pitchFamily="2" charset="0"/>
                    <a:ea typeface="Roboto" panose="02000000000000000000" pitchFamily="2" charset="0"/>
                    <a:cs typeface="+mn-cs"/>
                  </a:defRPr>
                </a:pPr>
                <a:r>
                  <a:rPr lang="en-US" sz="1500" b="1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Energy Service Costs (billion $ per 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5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Roboto" panose="02000000000000000000" pitchFamily="2" charset="0"/>
                  <a:ea typeface="Roboto" panose="02000000000000000000" pitchFamily="2" charset="0"/>
                  <a:cs typeface="+mn-cs"/>
                </a:defRPr>
              </a:pPr>
              <a:endParaRPr lang="en-US"/>
            </a:p>
          </c:txPr>
        </c:title>
        <c:numFmt formatCode="&quot;$&quot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506710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ysClr val="windowText" lastClr="000000"/>
              </a:solidFill>
              <a:latin typeface="Roboto" panose="02000000000000000000" pitchFamily="2" charset="0"/>
              <a:ea typeface="Roboto" panose="02000000000000000000" pitchFamily="2" charset="0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'Economy - No IRA'!$J$5</c:f>
              <c:strCache>
                <c:ptCount val="1"/>
                <c:pt idx="0">
                  <c:v>Electric (Pre-Subsidy)</c:v>
                </c:pt>
              </c:strCache>
            </c:strRef>
          </c:tx>
          <c:spPr>
            <a:solidFill>
              <a:srgbClr val="948BB3"/>
            </a:solidFill>
            <a:ln w="12700">
              <a:solidFill>
                <a:srgbClr val="948BB3"/>
              </a:solidFill>
            </a:ln>
            <a:effectLst/>
          </c:spPr>
          <c:invertIfNegative val="0"/>
          <c:cat>
            <c:numRef>
              <c:f>'Economy - No IRA'!$K$4:$O$4</c:f>
              <c:numCache>
                <c:formatCode>General</c:formatCode>
                <c:ptCount val="5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</c:numCache>
            </c:numRef>
          </c:cat>
          <c:val>
            <c:numRef>
              <c:f>'Economy - No IRA'!$K$5:$O$5</c:f>
              <c:numCache>
                <c:formatCode>0.0</c:formatCode>
                <c:ptCount val="5"/>
                <c:pt idx="0">
                  <c:v>413.4608838517712</c:v>
                </c:pt>
                <c:pt idx="1">
                  <c:v>469.42525086087909</c:v>
                </c:pt>
                <c:pt idx="2">
                  <c:v>475.69711957741703</c:v>
                </c:pt>
                <c:pt idx="3">
                  <c:v>481.96898829395502</c:v>
                </c:pt>
                <c:pt idx="4">
                  <c:v>505.72972170083915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B7-41C8-A628-2C1AB90BCCF9}"/>
            </c:ext>
          </c:extLst>
        </c:ser>
        <c:ser>
          <c:idx val="1"/>
          <c:order val="1"/>
          <c:tx>
            <c:v>Natural Gas</c:v>
          </c:tx>
          <c:spPr>
            <a:solidFill>
              <a:srgbClr val="ED7D31"/>
            </a:solidFill>
            <a:ln w="12700">
              <a:solidFill>
                <a:srgbClr val="ED7D31"/>
              </a:solidFill>
            </a:ln>
            <a:effectLst/>
          </c:spPr>
          <c:invertIfNegative val="0"/>
          <c:cat>
            <c:numRef>
              <c:f>'Economy - No IRA'!$K$4:$O$4</c:f>
              <c:numCache>
                <c:formatCode>General</c:formatCode>
                <c:ptCount val="5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</c:numCache>
            </c:numRef>
          </c:cat>
          <c:val>
            <c:numRef>
              <c:f>'Economy - No IRA'!$K$6:$O$6</c:f>
              <c:numCache>
                <c:formatCode>0.0</c:formatCode>
                <c:ptCount val="5"/>
                <c:pt idx="0">
                  <c:v>115.54711981621843</c:v>
                </c:pt>
                <c:pt idx="1">
                  <c:v>128.69392154896147</c:v>
                </c:pt>
                <c:pt idx="2">
                  <c:v>142.564400441305</c:v>
                </c:pt>
                <c:pt idx="3">
                  <c:v>147.63014055850874</c:v>
                </c:pt>
                <c:pt idx="4">
                  <c:v>151.00730063664454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B7-41C8-A628-2C1AB90BCCF9}"/>
            </c:ext>
          </c:extLst>
        </c:ser>
        <c:ser>
          <c:idx val="3"/>
          <c:order val="2"/>
          <c:tx>
            <c:v>Petroleum and Other Fuels</c:v>
          </c:tx>
          <c:spPr>
            <a:solidFill>
              <a:srgbClr val="C55A11"/>
            </a:solidFill>
            <a:ln w="12700">
              <a:solidFill>
                <a:srgbClr val="C55A11"/>
              </a:solidFill>
            </a:ln>
            <a:effectLst/>
          </c:spPr>
          <c:invertIfNegative val="0"/>
          <c:cat>
            <c:numRef>
              <c:f>'Economy - No IRA'!$K$4:$O$4</c:f>
              <c:numCache>
                <c:formatCode>General</c:formatCode>
                <c:ptCount val="5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</c:numCache>
            </c:numRef>
          </c:cat>
          <c:val>
            <c:numRef>
              <c:f>'Economy - No IRA'!$K$7:$O$7</c:f>
              <c:numCache>
                <c:formatCode>0.0</c:formatCode>
                <c:ptCount val="5"/>
                <c:pt idx="0">
                  <c:v>724.76267533993393</c:v>
                </c:pt>
                <c:pt idx="1">
                  <c:v>687.97575306023998</c:v>
                </c:pt>
                <c:pt idx="2">
                  <c:v>652.87741081961417</c:v>
                </c:pt>
                <c:pt idx="3">
                  <c:v>607.88881406444773</c:v>
                </c:pt>
                <c:pt idx="4">
                  <c:v>548.42667411727064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B7-41C8-A628-2C1AB90BCCF9}"/>
            </c:ext>
          </c:extLst>
        </c:ser>
        <c:ser>
          <c:idx val="6"/>
          <c:order val="3"/>
          <c:tx>
            <c:strRef>
              <c:f>'Economy - No IRA'!$J$8</c:f>
              <c:strCache>
                <c:ptCount val="1"/>
                <c:pt idx="0">
                  <c:v>Buildings Non-Energy</c:v>
                </c:pt>
              </c:strCache>
            </c:strRef>
          </c:tx>
          <c:spPr>
            <a:solidFill>
              <a:srgbClr val="F1CEB9"/>
            </a:solidFill>
            <a:ln w="12700">
              <a:solidFill>
                <a:schemeClr val="accent2"/>
              </a:solidFill>
            </a:ln>
            <a:effectLst/>
          </c:spPr>
          <c:invertIfNegative val="0"/>
          <c:cat>
            <c:numRef>
              <c:f>'Economy - No IRA'!$K$4:$O$4</c:f>
              <c:numCache>
                <c:formatCode>General</c:formatCode>
                <c:ptCount val="5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</c:numCache>
            </c:numRef>
          </c:cat>
          <c:val>
            <c:numRef>
              <c:f>'Economy - No IRA'!$K$8:$O$8</c:f>
              <c:numCache>
                <c:formatCode>0.0</c:formatCode>
                <c:ptCount val="5"/>
                <c:pt idx="0">
                  <c:v>267.39871047239694</c:v>
                </c:pt>
                <c:pt idx="1">
                  <c:v>281.38980222467393</c:v>
                </c:pt>
                <c:pt idx="2">
                  <c:v>277.04773926707071</c:v>
                </c:pt>
                <c:pt idx="3">
                  <c:v>274.99732064820256</c:v>
                </c:pt>
                <c:pt idx="4">
                  <c:v>275.11793350813599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AB7-41C8-A628-2C1AB90BCCF9}"/>
            </c:ext>
          </c:extLst>
        </c:ser>
        <c:ser>
          <c:idx val="7"/>
          <c:order val="4"/>
          <c:tx>
            <c:strRef>
              <c:f>'Economy - No IRA'!$J$9</c:f>
              <c:strCache>
                <c:ptCount val="1"/>
                <c:pt idx="0">
                  <c:v>Industry Non-Energy</c:v>
                </c:pt>
              </c:strCache>
            </c:strRef>
          </c:tx>
          <c:spPr>
            <a:solidFill>
              <a:srgbClr val="F5E5BD"/>
            </a:solidFill>
            <a:ln w="12700">
              <a:solidFill>
                <a:schemeClr val="accent4"/>
              </a:solidFill>
            </a:ln>
            <a:effectLst/>
          </c:spPr>
          <c:invertIfNegative val="0"/>
          <c:cat>
            <c:numRef>
              <c:f>'Economy - No IRA'!$K$4:$O$4</c:f>
              <c:numCache>
                <c:formatCode>General</c:formatCode>
                <c:ptCount val="5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</c:numCache>
            </c:numRef>
          </c:cat>
          <c:val>
            <c:numRef>
              <c:f>'Economy - No IRA'!$K$9:$O$9</c:f>
              <c:numCache>
                <c:formatCode>0.0</c:formatCode>
                <c:ptCount val="5"/>
                <c:pt idx="0">
                  <c:v>291.0388310193477</c:v>
                </c:pt>
                <c:pt idx="1">
                  <c:v>301.77337555342223</c:v>
                </c:pt>
                <c:pt idx="2">
                  <c:v>284.28451086307604</c:v>
                </c:pt>
                <c:pt idx="3">
                  <c:v>289.10902526041292</c:v>
                </c:pt>
                <c:pt idx="4">
                  <c:v>298.51682833521988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AB7-41C8-A628-2C1AB90BCCF9}"/>
            </c:ext>
          </c:extLst>
        </c:ser>
        <c:ser>
          <c:idx val="8"/>
          <c:order val="5"/>
          <c:tx>
            <c:strRef>
              <c:f>'Economy - No IRA'!$J$10</c:f>
              <c:strCache>
                <c:ptCount val="1"/>
                <c:pt idx="0">
                  <c:v>Transport Non-Energy</c:v>
                </c:pt>
              </c:strCache>
            </c:strRef>
          </c:tx>
          <c:spPr>
            <a:solidFill>
              <a:srgbClr val="DCEED2"/>
            </a:solidFill>
            <a:ln w="12700">
              <a:solidFill>
                <a:schemeClr val="accent6">
                  <a:lumMod val="75000"/>
                </a:schemeClr>
              </a:solidFill>
            </a:ln>
            <a:effectLst/>
          </c:spPr>
          <c:invertIfNegative val="0"/>
          <c:cat>
            <c:numRef>
              <c:f>'Economy - No IRA'!$K$4:$O$4</c:f>
              <c:numCache>
                <c:formatCode>General</c:formatCode>
                <c:ptCount val="5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</c:numCache>
            </c:numRef>
          </c:cat>
          <c:val>
            <c:numRef>
              <c:f>'Economy - No IRA'!$K$10:$O$10</c:f>
              <c:numCache>
                <c:formatCode>0.0</c:formatCode>
                <c:ptCount val="5"/>
                <c:pt idx="0">
                  <c:v>1802.0767402652605</c:v>
                </c:pt>
                <c:pt idx="1">
                  <c:v>1979.2570315074577</c:v>
                </c:pt>
                <c:pt idx="2">
                  <c:v>2065.3746134999215</c:v>
                </c:pt>
                <c:pt idx="3">
                  <c:v>2060.3088733827176</c:v>
                </c:pt>
                <c:pt idx="4">
                  <c:v>2129.2994292646349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AB7-41C8-A628-2C1AB90BCCF9}"/>
            </c:ext>
          </c:extLst>
        </c:ser>
        <c:ser>
          <c:idx val="10"/>
          <c:order val="7"/>
          <c:tx>
            <c:v>Tax Credits Electric</c:v>
          </c:tx>
          <c:spPr>
            <a:solidFill>
              <a:schemeClr val="bg1">
                <a:lumMod val="65000"/>
              </a:schemeClr>
            </a:solidFill>
            <a:ln w="12700"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cat>
            <c:numRef>
              <c:f>'Economy - No IRA'!$K$4:$O$4</c:f>
              <c:numCache>
                <c:formatCode>General</c:formatCode>
                <c:ptCount val="5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</c:numCache>
            </c:numRef>
          </c:cat>
          <c:val>
            <c:numRef>
              <c:f>'Economy - No IRA'!$K$12:$O$12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AB7-41C8-A628-2C1AB90BCCF9}"/>
            </c:ext>
          </c:extLst>
        </c:ser>
        <c:ser>
          <c:idx val="11"/>
          <c:order val="8"/>
          <c:tx>
            <c:v>Tax Credits End-Use</c:v>
          </c:tx>
          <c:spPr>
            <a:solidFill>
              <a:schemeClr val="bg1">
                <a:lumMod val="85000"/>
              </a:schemeClr>
            </a:solidFill>
            <a:ln w="1270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numRef>
              <c:f>'Economy - No IRA'!$K$4:$O$4</c:f>
              <c:numCache>
                <c:formatCode>General</c:formatCode>
                <c:ptCount val="5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</c:numCache>
            </c:numRef>
          </c:cat>
          <c:val>
            <c:numRef>
              <c:f>'Economy - No IRA'!$K$13:$O$13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AB7-41C8-A628-2C1AB90BCC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6710816"/>
        <c:axId val="506714096"/>
        <c:extLst/>
      </c:barChart>
      <c:lineChart>
        <c:grouping val="standard"/>
        <c:varyColors val="0"/>
        <c:ser>
          <c:idx val="9"/>
          <c:order val="6"/>
          <c:tx>
            <c:v>Net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noFill/>
              <a:ln w="25400">
                <a:solidFill>
                  <a:schemeClr val="tx1"/>
                </a:solidFill>
              </a:ln>
              <a:effectLst/>
            </c:spPr>
          </c:marker>
          <c:cat>
            <c:numRef>
              <c:f>'Economy - No IRA'!$K$4:$N$4</c:f>
              <c:numCache>
                <c:formatCode>General</c:formatCode>
                <c:ptCount val="4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</c:numCache>
            </c:numRef>
          </c:cat>
          <c:val>
            <c:numRef>
              <c:f>'Economy - No IRA'!$K$14:$O$14</c:f>
              <c:numCache>
                <c:formatCode>0.0</c:formatCode>
                <c:ptCount val="5"/>
                <c:pt idx="0">
                  <c:v>3614.2849607649287</c:v>
                </c:pt>
                <c:pt idx="1">
                  <c:v>3848.5151347556343</c:v>
                </c:pt>
                <c:pt idx="2">
                  <c:v>3897.8457944684042</c:v>
                </c:pt>
                <c:pt idx="3">
                  <c:v>3861.9031622082443</c:v>
                </c:pt>
                <c:pt idx="4">
                  <c:v>3908.0978875627452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5AB7-41C8-A628-2C1AB90BCC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6710816"/>
        <c:axId val="506714096"/>
        <c:extLst/>
      </c:lineChart>
      <c:catAx>
        <c:axId val="506710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506714096"/>
        <c:crosses val="autoZero"/>
        <c:auto val="1"/>
        <c:lblAlgn val="ctr"/>
        <c:lblOffset val="100"/>
        <c:noMultiLvlLbl val="0"/>
      </c:catAx>
      <c:valAx>
        <c:axId val="506714096"/>
        <c:scaling>
          <c:orientation val="minMax"/>
          <c:min val="-5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5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Roboto" panose="02000000000000000000" pitchFamily="2" charset="0"/>
                    <a:ea typeface="Roboto" panose="02000000000000000000" pitchFamily="2" charset="0"/>
                    <a:cs typeface="+mn-cs"/>
                  </a:defRPr>
                </a:pPr>
                <a:r>
                  <a:rPr lang="en-US" sz="1500" b="1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Energy Service Costs (billion $ per 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5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Roboto" panose="02000000000000000000" pitchFamily="2" charset="0"/>
                  <a:ea typeface="Roboto" panose="02000000000000000000" pitchFamily="2" charset="0"/>
                  <a:cs typeface="+mn-cs"/>
                </a:defRPr>
              </a:pPr>
              <a:endParaRPr lang="en-US"/>
            </a:p>
          </c:txPr>
        </c:title>
        <c:numFmt formatCode="&quot;$&quot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506710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ysClr val="windowText" lastClr="000000"/>
              </a:solidFill>
              <a:latin typeface="Roboto" panose="02000000000000000000" pitchFamily="2" charset="0"/>
              <a:ea typeface="Roboto" panose="02000000000000000000" pitchFamily="2" charset="0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'Tax Credit Figure'!$B$5</c:f>
              <c:strCache>
                <c:ptCount val="1"/>
                <c:pt idx="0">
                  <c:v>ITC</c:v>
                </c:pt>
              </c:strCache>
            </c:strRef>
          </c:tx>
          <c:spPr>
            <a:solidFill>
              <a:srgbClr val="4F8A9E"/>
            </a:solidFill>
            <a:ln>
              <a:noFill/>
            </a:ln>
            <a:effectLst/>
          </c:spPr>
          <c:invertIfNegative val="0"/>
          <c:cat>
            <c:multiLvlStrRef>
              <c:f>'Tax Credit Figure'!$C$2:$H$3</c:f>
              <c:multiLvlStrCache>
                <c:ptCount val="6"/>
                <c:lvl>
                  <c:pt idx="0">
                    <c:v>2026</c:v>
                  </c:pt>
                  <c:pt idx="1">
                    <c:v>2031</c:v>
                  </c:pt>
                  <c:pt idx="2">
                    <c:v>2025</c:v>
                  </c:pt>
                  <c:pt idx="3">
                    <c:v>2030</c:v>
                  </c:pt>
                  <c:pt idx="4">
                    <c:v>2035</c:v>
                  </c:pt>
                  <c:pt idx="5">
                    <c:v>2040</c:v>
                  </c:pt>
                </c:lvl>
                <c:lvl>
                  <c:pt idx="0">
                    <c:v>CBO/JCT</c:v>
                  </c:pt>
                  <c:pt idx="2">
                    <c:v>US-REGEN</c:v>
                  </c:pt>
                </c:lvl>
              </c:multiLvlStrCache>
            </c:multiLvlStrRef>
          </c:cat>
          <c:val>
            <c:numRef>
              <c:f>'Tax Credit Figure'!$C$5:$H$5</c:f>
              <c:numCache>
                <c:formatCode>0.0</c:formatCode>
                <c:ptCount val="6"/>
                <c:pt idx="0">
                  <c:v>11.62</c:v>
                </c:pt>
                <c:pt idx="1">
                  <c:v>64.819999999999993</c:v>
                </c:pt>
                <c:pt idx="2">
                  <c:v>36.162583362364352</c:v>
                </c:pt>
                <c:pt idx="3">
                  <c:v>85.14095516396894</c:v>
                </c:pt>
                <c:pt idx="4">
                  <c:v>116.65518903095312</c:v>
                </c:pt>
                <c:pt idx="5">
                  <c:v>138.71515273784206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A3-4359-8B4B-88CB2635C8B0}"/>
            </c:ext>
          </c:extLst>
        </c:ser>
        <c:ser>
          <c:idx val="0"/>
          <c:order val="1"/>
          <c:tx>
            <c:strRef>
              <c:f>'Tax Credit Figure'!$B$4</c:f>
              <c:strCache>
                <c:ptCount val="1"/>
                <c:pt idx="0">
                  <c:v>PTC</c:v>
                </c:pt>
              </c:strCache>
            </c:strRef>
          </c:tx>
          <c:spPr>
            <a:solidFill>
              <a:srgbClr val="A4C5CF"/>
            </a:solidFill>
            <a:ln>
              <a:noFill/>
            </a:ln>
            <a:effectLst/>
          </c:spPr>
          <c:invertIfNegative val="0"/>
          <c:cat>
            <c:multiLvlStrRef>
              <c:f>'Tax Credit Figure'!$C$2:$H$3</c:f>
              <c:multiLvlStrCache>
                <c:ptCount val="6"/>
                <c:lvl>
                  <c:pt idx="0">
                    <c:v>2026</c:v>
                  </c:pt>
                  <c:pt idx="1">
                    <c:v>2031</c:v>
                  </c:pt>
                  <c:pt idx="2">
                    <c:v>2025</c:v>
                  </c:pt>
                  <c:pt idx="3">
                    <c:v>2030</c:v>
                  </c:pt>
                  <c:pt idx="4">
                    <c:v>2035</c:v>
                  </c:pt>
                  <c:pt idx="5">
                    <c:v>2040</c:v>
                  </c:pt>
                </c:lvl>
                <c:lvl>
                  <c:pt idx="0">
                    <c:v>CBO/JCT</c:v>
                  </c:pt>
                  <c:pt idx="2">
                    <c:v>US-REGEN</c:v>
                  </c:pt>
                </c:lvl>
              </c:multiLvlStrCache>
            </c:multiLvlStrRef>
          </c:cat>
          <c:val>
            <c:numRef>
              <c:f>'Tax Credit Figure'!$C$4:$H$4</c:f>
              <c:numCache>
                <c:formatCode>0.0</c:formatCode>
                <c:ptCount val="6"/>
                <c:pt idx="0">
                  <c:v>21.311999999999998</c:v>
                </c:pt>
                <c:pt idx="1">
                  <c:v>92.240999999999985</c:v>
                </c:pt>
                <c:pt idx="2">
                  <c:v>16.190437649163126</c:v>
                </c:pt>
                <c:pt idx="3">
                  <c:v>81.188544999818021</c:v>
                </c:pt>
                <c:pt idx="4">
                  <c:v>195.16502415207748</c:v>
                </c:pt>
                <c:pt idx="5">
                  <c:v>321.74719685113064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A3-4359-8B4B-88CB2635C8B0}"/>
            </c:ext>
          </c:extLst>
        </c:ser>
        <c:ser>
          <c:idx val="2"/>
          <c:order val="2"/>
          <c:tx>
            <c:strRef>
              <c:f>'Tax Credit Figure'!$B$6</c:f>
              <c:strCache>
                <c:ptCount val="1"/>
                <c:pt idx="0">
                  <c:v>45Q</c:v>
                </c:pt>
              </c:strCache>
            </c:strRef>
          </c:tx>
          <c:spPr>
            <a:solidFill>
              <a:srgbClr val="CA7378"/>
            </a:solidFill>
            <a:ln>
              <a:noFill/>
            </a:ln>
            <a:effectLst/>
          </c:spPr>
          <c:invertIfNegative val="0"/>
          <c:cat>
            <c:multiLvlStrRef>
              <c:f>'Tax Credit Figure'!$C$2:$H$3</c:f>
              <c:multiLvlStrCache>
                <c:ptCount val="6"/>
                <c:lvl>
                  <c:pt idx="0">
                    <c:v>2026</c:v>
                  </c:pt>
                  <c:pt idx="1">
                    <c:v>2031</c:v>
                  </c:pt>
                  <c:pt idx="2">
                    <c:v>2025</c:v>
                  </c:pt>
                  <c:pt idx="3">
                    <c:v>2030</c:v>
                  </c:pt>
                  <c:pt idx="4">
                    <c:v>2035</c:v>
                  </c:pt>
                  <c:pt idx="5">
                    <c:v>2040</c:v>
                  </c:pt>
                </c:lvl>
                <c:lvl>
                  <c:pt idx="0">
                    <c:v>CBO/JCT</c:v>
                  </c:pt>
                  <c:pt idx="2">
                    <c:v>US-REGEN</c:v>
                  </c:pt>
                </c:lvl>
              </c:multiLvlStrCache>
            </c:multiLvlStrRef>
          </c:cat>
          <c:val>
            <c:numRef>
              <c:f>'Tax Credit Figure'!$C$6:$H$6</c:f>
              <c:numCache>
                <c:formatCode>0.0</c:formatCode>
                <c:ptCount val="6"/>
                <c:pt idx="0">
                  <c:v>1.3090000000000002</c:v>
                </c:pt>
                <c:pt idx="1">
                  <c:v>3.2290000000000001</c:v>
                </c:pt>
                <c:pt idx="2">
                  <c:v>0</c:v>
                </c:pt>
                <c:pt idx="3">
                  <c:v>73.270593740738221</c:v>
                </c:pt>
                <c:pt idx="4">
                  <c:v>146.93511540481376</c:v>
                </c:pt>
                <c:pt idx="5">
                  <c:v>172.86870369118617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A3-4359-8B4B-88CB2635C8B0}"/>
            </c:ext>
          </c:extLst>
        </c:ser>
        <c:ser>
          <c:idx val="3"/>
          <c:order val="3"/>
          <c:tx>
            <c:strRef>
              <c:f>'Tax Credit Figure'!$B$7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rgbClr val="D9D9D9"/>
            </a:solidFill>
            <a:ln>
              <a:noFill/>
            </a:ln>
            <a:effectLst/>
          </c:spPr>
          <c:invertIfNegative val="0"/>
          <c:cat>
            <c:multiLvlStrRef>
              <c:f>'Tax Credit Figure'!$C$2:$H$3</c:f>
              <c:multiLvlStrCache>
                <c:ptCount val="6"/>
                <c:lvl>
                  <c:pt idx="0">
                    <c:v>2026</c:v>
                  </c:pt>
                  <c:pt idx="1">
                    <c:v>2031</c:v>
                  </c:pt>
                  <c:pt idx="2">
                    <c:v>2025</c:v>
                  </c:pt>
                  <c:pt idx="3">
                    <c:v>2030</c:v>
                  </c:pt>
                  <c:pt idx="4">
                    <c:v>2035</c:v>
                  </c:pt>
                  <c:pt idx="5">
                    <c:v>2040</c:v>
                  </c:pt>
                </c:lvl>
                <c:lvl>
                  <c:pt idx="0">
                    <c:v>CBO/JCT</c:v>
                  </c:pt>
                  <c:pt idx="2">
                    <c:v>US-REGEN</c:v>
                  </c:pt>
                </c:lvl>
              </c:multiLvlStrCache>
            </c:multiLvlStrRef>
          </c:cat>
          <c:val>
            <c:numRef>
              <c:f>'Tax Credit Figure'!$C$7:$H$7</c:f>
              <c:numCache>
                <c:formatCode>0.0</c:formatCode>
                <c:ptCount val="6"/>
                <c:pt idx="0">
                  <c:v>12.816000000000001</c:v>
                </c:pt>
                <c:pt idx="1">
                  <c:v>35.994999999999997</c:v>
                </c:pt>
                <c:pt idx="2">
                  <c:v>32.927310761824245</c:v>
                </c:pt>
                <c:pt idx="3">
                  <c:v>345.91768228905477</c:v>
                </c:pt>
                <c:pt idx="4">
                  <c:v>345.91768228905477</c:v>
                </c:pt>
                <c:pt idx="5">
                  <c:v>345.91768228905477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A3-4359-8B4B-88CB2635C8B0}"/>
            </c:ext>
          </c:extLst>
        </c:ser>
        <c:ser>
          <c:idx val="4"/>
          <c:order val="4"/>
          <c:tx>
            <c:strRef>
              <c:f>'Tax Credit Figure'!$B$8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FFE699"/>
            </a:solidFill>
            <a:ln>
              <a:noFill/>
            </a:ln>
            <a:effectLst/>
          </c:spPr>
          <c:invertIfNegative val="0"/>
          <c:cat>
            <c:multiLvlStrRef>
              <c:f>'Tax Credit Figure'!$C$2:$H$3</c:f>
              <c:multiLvlStrCache>
                <c:ptCount val="6"/>
                <c:lvl>
                  <c:pt idx="0">
                    <c:v>2026</c:v>
                  </c:pt>
                  <c:pt idx="1">
                    <c:v>2031</c:v>
                  </c:pt>
                  <c:pt idx="2">
                    <c:v>2025</c:v>
                  </c:pt>
                  <c:pt idx="3">
                    <c:v>2030</c:v>
                  </c:pt>
                  <c:pt idx="4">
                    <c:v>2035</c:v>
                  </c:pt>
                  <c:pt idx="5">
                    <c:v>2040</c:v>
                  </c:pt>
                </c:lvl>
                <c:lvl>
                  <c:pt idx="0">
                    <c:v>CBO/JCT</c:v>
                  </c:pt>
                  <c:pt idx="2">
                    <c:v>US-REGEN</c:v>
                  </c:pt>
                </c:lvl>
              </c:multiLvlStrCache>
            </c:multiLvlStrRef>
          </c:cat>
          <c:val>
            <c:numRef>
              <c:f>'Tax Credit Figure'!$C$8:$H$8</c:f>
              <c:numCache>
                <c:formatCode>0.0</c:formatCode>
                <c:ptCount val="6"/>
                <c:pt idx="0">
                  <c:v>28.728999999999999</c:v>
                </c:pt>
                <c:pt idx="1">
                  <c:v>74.388999999999996</c:v>
                </c:pt>
                <c:pt idx="2">
                  <c:v>25.690539165818919</c:v>
                </c:pt>
                <c:pt idx="3">
                  <c:v>69.714233041518014</c:v>
                </c:pt>
                <c:pt idx="4">
                  <c:v>69.714233041518014</c:v>
                </c:pt>
                <c:pt idx="5">
                  <c:v>69.714233041518014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BA3-4359-8B4B-88CB2635C8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30061016"/>
        <c:axId val="630058720"/>
        <c:extLst>
          <c:ext xmlns:c15="http://schemas.microsoft.com/office/drawing/2012/chart" uri="{02D57815-91ED-43cb-92C2-25804820EDAC}">
            <c15:filteredBarSeries>
              <c15:ser>
                <c:idx val="5"/>
                <c:order val="5"/>
                <c:tx>
                  <c:strRef>
                    <c:extLst>
                      <c:ext uri="{02D57815-91ED-43cb-92C2-25804820EDAC}">
                        <c15:formulaRef>
                          <c15:sqref>'Tax Credit Figure'!$B$9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>
                      <c:ext uri="{02D57815-91ED-43cb-92C2-25804820EDAC}">
                        <c15:formulaRef>
                          <c15:sqref>'Tax Credit Figure'!$C$2:$H$3</c15:sqref>
                        </c15:formulaRef>
                      </c:ext>
                    </c:extLst>
                    <c:multiLvlStrCache>
                      <c:ptCount val="6"/>
                      <c:lvl>
                        <c:pt idx="0">
                          <c:v>2026</c:v>
                        </c:pt>
                        <c:pt idx="1">
                          <c:v>2031</c:v>
                        </c:pt>
                        <c:pt idx="2">
                          <c:v>2025</c:v>
                        </c:pt>
                        <c:pt idx="3">
                          <c:v>2030</c:v>
                        </c:pt>
                        <c:pt idx="4">
                          <c:v>2035</c:v>
                        </c:pt>
                        <c:pt idx="5">
                          <c:v>2040</c:v>
                        </c:pt>
                      </c:lvl>
                      <c:lvl>
                        <c:pt idx="0">
                          <c:v>CBO/JCT</c:v>
                        </c:pt>
                        <c:pt idx="2">
                          <c:v>US-REGEN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'Tax Credit Figure'!$C$9:$H$9</c15:sqref>
                        </c15:formulaRef>
                      </c:ext>
                    </c:extLst>
                    <c:numCache>
                      <c:formatCode>0.0</c:formatCode>
                      <c:ptCount val="6"/>
                      <c:pt idx="0">
                        <c:v>75.786000000000001</c:v>
                      </c:pt>
                      <c:pt idx="1">
                        <c:v>270.67399999999998</c:v>
                      </c:pt>
                      <c:pt idx="2">
                        <c:v>110.97087093917064</c:v>
                      </c:pt>
                      <c:pt idx="3">
                        <c:v>655.23200923509796</c:v>
                      </c:pt>
                      <c:pt idx="4">
                        <c:v>874.38724391841708</c:v>
                      </c:pt>
                      <c:pt idx="5">
                        <c:v>1048.9629686107314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8BA3-4359-8B4B-88CB2635C8B0}"/>
                  </c:ext>
                </c:extLst>
              </c15:ser>
            </c15:filteredBarSeries>
          </c:ext>
        </c:extLst>
      </c:barChart>
      <c:catAx>
        <c:axId val="630061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630058720"/>
        <c:crosses val="autoZero"/>
        <c:auto val="1"/>
        <c:lblAlgn val="ctr"/>
        <c:lblOffset val="100"/>
        <c:noMultiLvlLbl val="0"/>
      </c:catAx>
      <c:valAx>
        <c:axId val="630058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Total</a:t>
                </a:r>
                <a:r>
                  <a:rPr lang="en-US" sz="1400" b="1" baseline="0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 Undiscounted Fiscal Cost (billion $)</a:t>
                </a:r>
                <a:endParaRPr lang="en-US" sz="1400" b="1">
                  <a:solidFill>
                    <a:sysClr val="windowText" lastClr="000000"/>
                  </a:solidFill>
                  <a:latin typeface="Roboto" panose="02000000000000000000" pitchFamily="2" charset="0"/>
                  <a:ea typeface="Roboto" panose="02000000000000000000" pitchFamily="2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630061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Roboto" panose="02000000000000000000" pitchFamily="2" charset="0"/>
              <a:ea typeface="Roboto" panose="02000000000000000000" pitchFamily="2" charset="0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'Tax Credit Figure (Nominal)'!$B$5</c:f>
              <c:strCache>
                <c:ptCount val="1"/>
                <c:pt idx="0">
                  <c:v>ITC</c:v>
                </c:pt>
              </c:strCache>
            </c:strRef>
          </c:tx>
          <c:spPr>
            <a:solidFill>
              <a:srgbClr val="4F8A9E"/>
            </a:solidFill>
            <a:ln>
              <a:noFill/>
            </a:ln>
            <a:effectLst/>
          </c:spPr>
          <c:invertIfNegative val="0"/>
          <c:cat>
            <c:multiLvlStrRef>
              <c:f>'Tax Credit Figure (Nominal)'!$C$2:$H$3</c:f>
              <c:multiLvlStrCache>
                <c:ptCount val="6"/>
                <c:lvl>
                  <c:pt idx="0">
                    <c:v>2026</c:v>
                  </c:pt>
                  <c:pt idx="1">
                    <c:v>2031</c:v>
                  </c:pt>
                  <c:pt idx="2">
                    <c:v>2026</c:v>
                  </c:pt>
                  <c:pt idx="3">
                    <c:v>2031</c:v>
                  </c:pt>
                  <c:pt idx="4">
                    <c:v>2035</c:v>
                  </c:pt>
                  <c:pt idx="5">
                    <c:v>2040</c:v>
                  </c:pt>
                </c:lvl>
                <c:lvl>
                  <c:pt idx="0">
                    <c:v>CBO/JCT</c:v>
                  </c:pt>
                  <c:pt idx="2">
                    <c:v>US-REGEN</c:v>
                  </c:pt>
                </c:lvl>
              </c:multiLvlStrCache>
            </c:multiLvlStrRef>
          </c:cat>
          <c:val>
            <c:numRef>
              <c:f>'Tax Credit Figure (Nominal)'!$C$5:$H$5</c:f>
              <c:numCache>
                <c:formatCode>0.0</c:formatCode>
                <c:ptCount val="6"/>
                <c:pt idx="0">
                  <c:v>11.62</c:v>
                </c:pt>
                <c:pt idx="1">
                  <c:v>64.819999999999993</c:v>
                </c:pt>
                <c:pt idx="2">
                  <c:v>48.231622798039957</c:v>
                </c:pt>
                <c:pt idx="3">
                  <c:v>100.34018898983531</c:v>
                </c:pt>
                <c:pt idx="4">
                  <c:v>132.0070598640238</c:v>
                </c:pt>
                <c:pt idx="5">
                  <c:v>162.30253954978261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A7-4893-BC45-AF263077BFA9}"/>
            </c:ext>
          </c:extLst>
        </c:ser>
        <c:ser>
          <c:idx val="0"/>
          <c:order val="1"/>
          <c:tx>
            <c:strRef>
              <c:f>'Tax Credit Figure (Nominal)'!$B$4</c:f>
              <c:strCache>
                <c:ptCount val="1"/>
                <c:pt idx="0">
                  <c:v>PTC</c:v>
                </c:pt>
              </c:strCache>
            </c:strRef>
          </c:tx>
          <c:spPr>
            <a:solidFill>
              <a:srgbClr val="A4C5CF"/>
            </a:solidFill>
            <a:ln>
              <a:noFill/>
            </a:ln>
            <a:effectLst/>
          </c:spPr>
          <c:invertIfNegative val="0"/>
          <c:cat>
            <c:multiLvlStrRef>
              <c:f>'Tax Credit Figure (Nominal)'!$C$2:$H$3</c:f>
              <c:multiLvlStrCache>
                <c:ptCount val="6"/>
                <c:lvl>
                  <c:pt idx="0">
                    <c:v>2026</c:v>
                  </c:pt>
                  <c:pt idx="1">
                    <c:v>2031</c:v>
                  </c:pt>
                  <c:pt idx="2">
                    <c:v>2026</c:v>
                  </c:pt>
                  <c:pt idx="3">
                    <c:v>2031</c:v>
                  </c:pt>
                  <c:pt idx="4">
                    <c:v>2035</c:v>
                  </c:pt>
                  <c:pt idx="5">
                    <c:v>2040</c:v>
                  </c:pt>
                </c:lvl>
                <c:lvl>
                  <c:pt idx="0">
                    <c:v>CBO/JCT</c:v>
                  </c:pt>
                  <c:pt idx="2">
                    <c:v>US-REGEN</c:v>
                  </c:pt>
                </c:lvl>
              </c:multiLvlStrCache>
            </c:multiLvlStrRef>
          </c:cat>
          <c:val>
            <c:numRef>
              <c:f>'Tax Credit Figure (Nominal)'!$C$4:$H$4</c:f>
              <c:numCache>
                <c:formatCode>0.0</c:formatCode>
                <c:ptCount val="6"/>
                <c:pt idx="0">
                  <c:v>21.311999999999998</c:v>
                </c:pt>
                <c:pt idx="1">
                  <c:v>92.240999999999985</c:v>
                </c:pt>
                <c:pt idx="2">
                  <c:v>30.917941576805859</c:v>
                </c:pt>
                <c:pt idx="3">
                  <c:v>117.31635521424595</c:v>
                </c:pt>
                <c:pt idx="4">
                  <c:v>231.84487154256098</c:v>
                </c:pt>
                <c:pt idx="5">
                  <c:v>405.68321926322477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A7-4893-BC45-AF263077BFA9}"/>
            </c:ext>
          </c:extLst>
        </c:ser>
        <c:ser>
          <c:idx val="2"/>
          <c:order val="2"/>
          <c:tx>
            <c:strRef>
              <c:f>'Tax Credit Figure (Nominal)'!$B$6</c:f>
              <c:strCache>
                <c:ptCount val="1"/>
                <c:pt idx="0">
                  <c:v>45Q</c:v>
                </c:pt>
              </c:strCache>
            </c:strRef>
          </c:tx>
          <c:spPr>
            <a:solidFill>
              <a:srgbClr val="CA7378"/>
            </a:solidFill>
            <a:ln>
              <a:noFill/>
            </a:ln>
            <a:effectLst/>
          </c:spPr>
          <c:invertIfNegative val="0"/>
          <c:cat>
            <c:multiLvlStrRef>
              <c:f>'Tax Credit Figure (Nominal)'!$C$2:$H$3</c:f>
              <c:multiLvlStrCache>
                <c:ptCount val="6"/>
                <c:lvl>
                  <c:pt idx="0">
                    <c:v>2026</c:v>
                  </c:pt>
                  <c:pt idx="1">
                    <c:v>2031</c:v>
                  </c:pt>
                  <c:pt idx="2">
                    <c:v>2026</c:v>
                  </c:pt>
                  <c:pt idx="3">
                    <c:v>2031</c:v>
                  </c:pt>
                  <c:pt idx="4">
                    <c:v>2035</c:v>
                  </c:pt>
                  <c:pt idx="5">
                    <c:v>2040</c:v>
                  </c:pt>
                </c:lvl>
                <c:lvl>
                  <c:pt idx="0">
                    <c:v>CBO/JCT</c:v>
                  </c:pt>
                  <c:pt idx="2">
                    <c:v>US-REGEN</c:v>
                  </c:pt>
                </c:lvl>
              </c:multiLvlStrCache>
            </c:multiLvlStrRef>
          </c:cat>
          <c:val>
            <c:numRef>
              <c:f>'Tax Credit Figure (Nominal)'!$C$6:$H$6</c:f>
              <c:numCache>
                <c:formatCode>0.0</c:formatCode>
                <c:ptCount val="6"/>
                <c:pt idx="0">
                  <c:v>1.3090000000000002</c:v>
                </c:pt>
                <c:pt idx="1">
                  <c:v>3.2290000000000001</c:v>
                </c:pt>
                <c:pt idx="2">
                  <c:v>15.86208940945396</c:v>
                </c:pt>
                <c:pt idx="3">
                  <c:v>100.15413479067988</c:v>
                </c:pt>
                <c:pt idx="4">
                  <c:v>174.17544545909544</c:v>
                </c:pt>
                <c:pt idx="5">
                  <c:v>209.79066711348455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A7-4893-BC45-AF263077BFA9}"/>
            </c:ext>
          </c:extLst>
        </c:ser>
        <c:ser>
          <c:idx val="3"/>
          <c:order val="3"/>
          <c:tx>
            <c:strRef>
              <c:f>'Tax Credit Figure (Nominal)'!$B$7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rgbClr val="D9D9D9"/>
            </a:solidFill>
            <a:ln>
              <a:noFill/>
            </a:ln>
            <a:effectLst/>
          </c:spPr>
          <c:invertIfNegative val="0"/>
          <c:cat>
            <c:multiLvlStrRef>
              <c:f>'Tax Credit Figure (Nominal)'!$C$2:$H$3</c:f>
              <c:multiLvlStrCache>
                <c:ptCount val="6"/>
                <c:lvl>
                  <c:pt idx="0">
                    <c:v>2026</c:v>
                  </c:pt>
                  <c:pt idx="1">
                    <c:v>2031</c:v>
                  </c:pt>
                  <c:pt idx="2">
                    <c:v>2026</c:v>
                  </c:pt>
                  <c:pt idx="3">
                    <c:v>2031</c:v>
                  </c:pt>
                  <c:pt idx="4">
                    <c:v>2035</c:v>
                  </c:pt>
                  <c:pt idx="5">
                    <c:v>2040</c:v>
                  </c:pt>
                </c:lvl>
                <c:lvl>
                  <c:pt idx="0">
                    <c:v>CBO/JCT</c:v>
                  </c:pt>
                  <c:pt idx="2">
                    <c:v>US-REGEN</c:v>
                  </c:pt>
                </c:lvl>
              </c:multiLvlStrCache>
            </c:multiLvlStrRef>
          </c:cat>
          <c:val>
            <c:numRef>
              <c:f>'Tax Credit Figure (Nominal)'!$C$7:$H$7</c:f>
              <c:numCache>
                <c:formatCode>0.0</c:formatCode>
                <c:ptCount val="6"/>
                <c:pt idx="0">
                  <c:v>12.816000000000001</c:v>
                </c:pt>
                <c:pt idx="1">
                  <c:v>35.994999999999997</c:v>
                </c:pt>
                <c:pt idx="2">
                  <c:v>102.02022101315011</c:v>
                </c:pt>
                <c:pt idx="3">
                  <c:v>386.87828374193271</c:v>
                </c:pt>
                <c:pt idx="4">
                  <c:v>386.87828374193271</c:v>
                </c:pt>
                <c:pt idx="5">
                  <c:v>386.87828374193271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A7-4893-BC45-AF263077BFA9}"/>
            </c:ext>
          </c:extLst>
        </c:ser>
        <c:ser>
          <c:idx val="4"/>
          <c:order val="4"/>
          <c:tx>
            <c:strRef>
              <c:f>'Tax Credit Figure (Nominal)'!$B$8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FFE699"/>
            </a:solidFill>
            <a:ln>
              <a:noFill/>
            </a:ln>
            <a:effectLst/>
          </c:spPr>
          <c:invertIfNegative val="0"/>
          <c:cat>
            <c:multiLvlStrRef>
              <c:f>'Tax Credit Figure (Nominal)'!$C$2:$H$3</c:f>
              <c:multiLvlStrCache>
                <c:ptCount val="6"/>
                <c:lvl>
                  <c:pt idx="0">
                    <c:v>2026</c:v>
                  </c:pt>
                  <c:pt idx="1">
                    <c:v>2031</c:v>
                  </c:pt>
                  <c:pt idx="2">
                    <c:v>2026</c:v>
                  </c:pt>
                  <c:pt idx="3">
                    <c:v>2031</c:v>
                  </c:pt>
                  <c:pt idx="4">
                    <c:v>2035</c:v>
                  </c:pt>
                  <c:pt idx="5">
                    <c:v>2040</c:v>
                  </c:pt>
                </c:lvl>
                <c:lvl>
                  <c:pt idx="0">
                    <c:v>CBO/JCT</c:v>
                  </c:pt>
                  <c:pt idx="2">
                    <c:v>US-REGEN</c:v>
                  </c:pt>
                </c:lvl>
              </c:multiLvlStrCache>
            </c:multiLvlStrRef>
          </c:cat>
          <c:val>
            <c:numRef>
              <c:f>'Tax Credit Figure (Nominal)'!$C$8:$H$8</c:f>
              <c:numCache>
                <c:formatCode>0.0</c:formatCode>
                <c:ptCount val="6"/>
                <c:pt idx="0">
                  <c:v>28.728999999999999</c:v>
                </c:pt>
                <c:pt idx="1">
                  <c:v>74.388999999999996</c:v>
                </c:pt>
                <c:pt idx="2">
                  <c:v>36.262463272054916</c:v>
                </c:pt>
                <c:pt idx="3">
                  <c:v>76.329204272442439</c:v>
                </c:pt>
                <c:pt idx="4">
                  <c:v>76.329204272442439</c:v>
                </c:pt>
                <c:pt idx="5">
                  <c:v>76.329204272442439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A7-4893-BC45-AF263077BF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30061016"/>
        <c:axId val="630058720"/>
        <c:extLst>
          <c:ext xmlns:c15="http://schemas.microsoft.com/office/drawing/2012/chart" uri="{02D57815-91ED-43cb-92C2-25804820EDAC}">
            <c15:filteredBarSeries>
              <c15:ser>
                <c:idx val="5"/>
                <c:order val="5"/>
                <c:tx>
                  <c:strRef>
                    <c:extLst>
                      <c:ext uri="{02D57815-91ED-43cb-92C2-25804820EDAC}">
                        <c15:formulaRef>
                          <c15:sqref>'Tax Credit Figure (Nominal)'!$B$9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>
                      <c:ext uri="{02D57815-91ED-43cb-92C2-25804820EDAC}">
                        <c15:formulaRef>
                          <c15:sqref>'Tax Credit Figure (Nominal)'!$C$2:$H$3</c15:sqref>
                        </c15:formulaRef>
                      </c:ext>
                    </c:extLst>
                    <c:multiLvlStrCache>
                      <c:ptCount val="6"/>
                      <c:lvl>
                        <c:pt idx="0">
                          <c:v>2026</c:v>
                        </c:pt>
                        <c:pt idx="1">
                          <c:v>2031</c:v>
                        </c:pt>
                        <c:pt idx="2">
                          <c:v>2026</c:v>
                        </c:pt>
                        <c:pt idx="3">
                          <c:v>2031</c:v>
                        </c:pt>
                        <c:pt idx="4">
                          <c:v>2035</c:v>
                        </c:pt>
                        <c:pt idx="5">
                          <c:v>2040</c:v>
                        </c:pt>
                      </c:lvl>
                      <c:lvl>
                        <c:pt idx="0">
                          <c:v>CBO/JCT</c:v>
                        </c:pt>
                        <c:pt idx="2">
                          <c:v>US-REGEN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'Tax Credit Figure (Nominal)'!$C$9:$H$9</c15:sqref>
                        </c15:formulaRef>
                      </c:ext>
                    </c:extLst>
                    <c:numCache>
                      <c:formatCode>0.0</c:formatCode>
                      <c:ptCount val="6"/>
                      <c:pt idx="0">
                        <c:v>75.786000000000001</c:v>
                      </c:pt>
                      <c:pt idx="1">
                        <c:v>270.67399999999998</c:v>
                      </c:pt>
                      <c:pt idx="2">
                        <c:v>233.29433806950482</c:v>
                      </c:pt>
                      <c:pt idx="3">
                        <c:v>781.01816700913628</c:v>
                      </c:pt>
                      <c:pt idx="4">
                        <c:v>1001.2348648800554</c:v>
                      </c:pt>
                      <c:pt idx="5">
                        <c:v>1240.9839139408671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74A7-4893-BC45-AF263077BFA9}"/>
                  </c:ext>
                </c:extLst>
              </c15:ser>
            </c15:filteredBarSeries>
          </c:ext>
        </c:extLst>
      </c:barChart>
      <c:catAx>
        <c:axId val="630061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630058720"/>
        <c:crosses val="autoZero"/>
        <c:auto val="1"/>
        <c:lblAlgn val="ctr"/>
        <c:lblOffset val="100"/>
        <c:noMultiLvlLbl val="0"/>
      </c:catAx>
      <c:valAx>
        <c:axId val="630058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Total</a:t>
                </a:r>
                <a:r>
                  <a:rPr lang="en-US" sz="1400" b="1" baseline="0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 Undiscounted Fiscal Cost (billion $)</a:t>
                </a:r>
                <a:endParaRPr lang="en-US" sz="1400" b="1">
                  <a:solidFill>
                    <a:sysClr val="windowText" lastClr="000000"/>
                  </a:solidFill>
                  <a:latin typeface="Roboto" panose="02000000000000000000" pitchFamily="2" charset="0"/>
                  <a:ea typeface="Roboto" panose="02000000000000000000" pitchFamily="2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630061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Roboto" panose="02000000000000000000" pitchFamily="2" charset="0"/>
              <a:ea typeface="Roboto" panose="02000000000000000000" pitchFamily="2" charset="0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'Tax Credit Figure (Low)'!$B$5</c:f>
              <c:strCache>
                <c:ptCount val="1"/>
                <c:pt idx="0">
                  <c:v>ITC</c:v>
                </c:pt>
              </c:strCache>
            </c:strRef>
          </c:tx>
          <c:spPr>
            <a:solidFill>
              <a:srgbClr val="4F8A9E"/>
            </a:solidFill>
            <a:ln>
              <a:noFill/>
            </a:ln>
            <a:effectLst/>
          </c:spPr>
          <c:invertIfNegative val="0"/>
          <c:cat>
            <c:multiLvlStrRef>
              <c:f>'Tax Credit Figure (Low)'!$C$2:$H$3</c:f>
              <c:multiLvlStrCache>
                <c:ptCount val="6"/>
                <c:lvl>
                  <c:pt idx="0">
                    <c:v>2026</c:v>
                  </c:pt>
                  <c:pt idx="1">
                    <c:v>2031</c:v>
                  </c:pt>
                  <c:pt idx="2">
                    <c:v>2025</c:v>
                  </c:pt>
                  <c:pt idx="3">
                    <c:v>2030</c:v>
                  </c:pt>
                  <c:pt idx="4">
                    <c:v>2035</c:v>
                  </c:pt>
                  <c:pt idx="5">
                    <c:v>2040</c:v>
                  </c:pt>
                </c:lvl>
                <c:lvl>
                  <c:pt idx="0">
                    <c:v>CBO/JCT</c:v>
                  </c:pt>
                  <c:pt idx="2">
                    <c:v>US-REGEN</c:v>
                  </c:pt>
                </c:lvl>
              </c:multiLvlStrCache>
            </c:multiLvlStrRef>
          </c:cat>
          <c:val>
            <c:numRef>
              <c:f>'Tax Credit Figure (Low)'!$C$5:$H$5</c:f>
              <c:numCache>
                <c:formatCode>0.0</c:formatCode>
                <c:ptCount val="6"/>
                <c:pt idx="0">
                  <c:v>11.62</c:v>
                </c:pt>
                <c:pt idx="1">
                  <c:v>64.819999999999993</c:v>
                </c:pt>
                <c:pt idx="2">
                  <c:v>40.77154006541079</c:v>
                </c:pt>
                <c:pt idx="3">
                  <c:v>77.800764859117209</c:v>
                </c:pt>
                <c:pt idx="4">
                  <c:v>100.25465648934345</c:v>
                </c:pt>
                <c:pt idx="5">
                  <c:v>110.95636507334015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86-41C1-9C54-FC37817AC398}"/>
            </c:ext>
          </c:extLst>
        </c:ser>
        <c:ser>
          <c:idx val="0"/>
          <c:order val="1"/>
          <c:tx>
            <c:strRef>
              <c:f>'Tax Credit Figure (Low)'!$B$4</c:f>
              <c:strCache>
                <c:ptCount val="1"/>
                <c:pt idx="0">
                  <c:v>PTC</c:v>
                </c:pt>
              </c:strCache>
            </c:strRef>
          </c:tx>
          <c:spPr>
            <a:solidFill>
              <a:srgbClr val="A4C5CF"/>
            </a:solidFill>
            <a:ln>
              <a:noFill/>
            </a:ln>
            <a:effectLst/>
          </c:spPr>
          <c:invertIfNegative val="0"/>
          <c:cat>
            <c:multiLvlStrRef>
              <c:f>'Tax Credit Figure (Low)'!$C$2:$H$3</c:f>
              <c:multiLvlStrCache>
                <c:ptCount val="6"/>
                <c:lvl>
                  <c:pt idx="0">
                    <c:v>2026</c:v>
                  </c:pt>
                  <c:pt idx="1">
                    <c:v>2031</c:v>
                  </c:pt>
                  <c:pt idx="2">
                    <c:v>2025</c:v>
                  </c:pt>
                  <c:pt idx="3">
                    <c:v>2030</c:v>
                  </c:pt>
                  <c:pt idx="4">
                    <c:v>2035</c:v>
                  </c:pt>
                  <c:pt idx="5">
                    <c:v>2040</c:v>
                  </c:pt>
                </c:lvl>
                <c:lvl>
                  <c:pt idx="0">
                    <c:v>CBO/JCT</c:v>
                  </c:pt>
                  <c:pt idx="2">
                    <c:v>US-REGEN</c:v>
                  </c:pt>
                </c:lvl>
              </c:multiLvlStrCache>
            </c:multiLvlStrRef>
          </c:cat>
          <c:val>
            <c:numRef>
              <c:f>'Tax Credit Figure (Low)'!$C$4:$H$4</c:f>
              <c:numCache>
                <c:formatCode>0.0</c:formatCode>
                <c:ptCount val="6"/>
                <c:pt idx="0">
                  <c:v>21.311999999999998</c:v>
                </c:pt>
                <c:pt idx="1">
                  <c:v>92.240999999999985</c:v>
                </c:pt>
                <c:pt idx="2">
                  <c:v>16.032866479828204</c:v>
                </c:pt>
                <c:pt idx="3">
                  <c:v>33.628313722227709</c:v>
                </c:pt>
                <c:pt idx="4">
                  <c:v>90.616553298357445</c:v>
                </c:pt>
                <c:pt idx="5">
                  <c:v>204.39606848894823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86-41C1-9C54-FC37817AC398}"/>
            </c:ext>
          </c:extLst>
        </c:ser>
        <c:ser>
          <c:idx val="2"/>
          <c:order val="2"/>
          <c:tx>
            <c:strRef>
              <c:f>'Tax Credit Figure (Low)'!$B$6</c:f>
              <c:strCache>
                <c:ptCount val="1"/>
                <c:pt idx="0">
                  <c:v>45Q</c:v>
                </c:pt>
              </c:strCache>
            </c:strRef>
          </c:tx>
          <c:spPr>
            <a:solidFill>
              <a:srgbClr val="CA7378"/>
            </a:solidFill>
            <a:ln>
              <a:noFill/>
            </a:ln>
            <a:effectLst/>
          </c:spPr>
          <c:invertIfNegative val="0"/>
          <c:cat>
            <c:multiLvlStrRef>
              <c:f>'Tax Credit Figure (Low)'!$C$2:$H$3</c:f>
              <c:multiLvlStrCache>
                <c:ptCount val="6"/>
                <c:lvl>
                  <c:pt idx="0">
                    <c:v>2026</c:v>
                  </c:pt>
                  <c:pt idx="1">
                    <c:v>2031</c:v>
                  </c:pt>
                  <c:pt idx="2">
                    <c:v>2025</c:v>
                  </c:pt>
                  <c:pt idx="3">
                    <c:v>2030</c:v>
                  </c:pt>
                  <c:pt idx="4">
                    <c:v>2035</c:v>
                  </c:pt>
                  <c:pt idx="5">
                    <c:v>2040</c:v>
                  </c:pt>
                </c:lvl>
                <c:lvl>
                  <c:pt idx="0">
                    <c:v>CBO/JCT</c:v>
                  </c:pt>
                  <c:pt idx="2">
                    <c:v>US-REGEN</c:v>
                  </c:pt>
                </c:lvl>
              </c:multiLvlStrCache>
            </c:multiLvlStrRef>
          </c:cat>
          <c:val>
            <c:numRef>
              <c:f>'Tax Credit Figure (Low)'!$C$6:$H$6</c:f>
              <c:numCache>
                <c:formatCode>0.0</c:formatCode>
                <c:ptCount val="6"/>
                <c:pt idx="0">
                  <c:v>1.3090000000000002</c:v>
                </c:pt>
                <c:pt idx="1">
                  <c:v>3.2290000000000001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E86-41C1-9C54-FC37817AC398}"/>
            </c:ext>
          </c:extLst>
        </c:ser>
        <c:ser>
          <c:idx val="6"/>
          <c:order val="3"/>
          <c:tx>
            <c:v>45V</c:v>
          </c:tx>
          <c:spPr>
            <a:solidFill>
              <a:srgbClr val="9B3B40"/>
            </a:solidFill>
            <a:ln>
              <a:noFill/>
            </a:ln>
            <a:effectLst/>
          </c:spPr>
          <c:invertIfNegative val="0"/>
          <c:val>
            <c:numRef>
              <c:f>'Tax Credit Figure (Low)'!$C$9:$H$9</c:f>
              <c:numCache>
                <c:formatCode>General</c:formatCode>
                <c:ptCount val="6"/>
                <c:pt idx="2" formatCode="0.0">
                  <c:v>0</c:v>
                </c:pt>
                <c:pt idx="3" formatCode="0.0">
                  <c:v>0</c:v>
                </c:pt>
                <c:pt idx="4" formatCode="0.0">
                  <c:v>0</c:v>
                </c:pt>
                <c:pt idx="5" formatCode="0.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E86-41C1-9C54-FC37817AC398}"/>
            </c:ext>
          </c:extLst>
        </c:ser>
        <c:ser>
          <c:idx val="3"/>
          <c:order val="4"/>
          <c:tx>
            <c:strRef>
              <c:f>'Tax Credit Figure (Low)'!$B$7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rgbClr val="D9D9D9"/>
            </a:solidFill>
            <a:ln>
              <a:noFill/>
            </a:ln>
            <a:effectLst/>
          </c:spPr>
          <c:invertIfNegative val="0"/>
          <c:cat>
            <c:multiLvlStrRef>
              <c:f>'Tax Credit Figure (Low)'!$C$2:$H$3</c:f>
              <c:multiLvlStrCache>
                <c:ptCount val="6"/>
                <c:lvl>
                  <c:pt idx="0">
                    <c:v>2026</c:v>
                  </c:pt>
                  <c:pt idx="1">
                    <c:v>2031</c:v>
                  </c:pt>
                  <c:pt idx="2">
                    <c:v>2025</c:v>
                  </c:pt>
                  <c:pt idx="3">
                    <c:v>2030</c:v>
                  </c:pt>
                  <c:pt idx="4">
                    <c:v>2035</c:v>
                  </c:pt>
                  <c:pt idx="5">
                    <c:v>2040</c:v>
                  </c:pt>
                </c:lvl>
                <c:lvl>
                  <c:pt idx="0">
                    <c:v>CBO/JCT</c:v>
                  </c:pt>
                  <c:pt idx="2">
                    <c:v>US-REGEN</c:v>
                  </c:pt>
                </c:lvl>
              </c:multiLvlStrCache>
            </c:multiLvlStrRef>
          </c:cat>
          <c:val>
            <c:numRef>
              <c:f>'Tax Credit Figure (Low)'!$C$7:$H$7</c:f>
              <c:numCache>
                <c:formatCode>0.0</c:formatCode>
                <c:ptCount val="6"/>
                <c:pt idx="0">
                  <c:v>12.816000000000001</c:v>
                </c:pt>
                <c:pt idx="1">
                  <c:v>35.994999999999997</c:v>
                </c:pt>
                <c:pt idx="2">
                  <c:v>0</c:v>
                </c:pt>
                <c:pt idx="3">
                  <c:v>23.519507687017324</c:v>
                </c:pt>
                <c:pt idx="4">
                  <c:v>23.519507687017324</c:v>
                </c:pt>
                <c:pt idx="5">
                  <c:v>23.519507687017324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E86-41C1-9C54-FC37817AC398}"/>
            </c:ext>
          </c:extLst>
        </c:ser>
        <c:ser>
          <c:idx val="4"/>
          <c:order val="5"/>
          <c:tx>
            <c:strRef>
              <c:f>'Tax Credit Figure (Low)'!$B$8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FFE699"/>
            </a:solidFill>
            <a:ln>
              <a:noFill/>
            </a:ln>
            <a:effectLst/>
          </c:spPr>
          <c:invertIfNegative val="0"/>
          <c:cat>
            <c:multiLvlStrRef>
              <c:f>'Tax Credit Figure (Low)'!$C$2:$H$3</c:f>
              <c:multiLvlStrCache>
                <c:ptCount val="6"/>
                <c:lvl>
                  <c:pt idx="0">
                    <c:v>2026</c:v>
                  </c:pt>
                  <c:pt idx="1">
                    <c:v>2031</c:v>
                  </c:pt>
                  <c:pt idx="2">
                    <c:v>2025</c:v>
                  </c:pt>
                  <c:pt idx="3">
                    <c:v>2030</c:v>
                  </c:pt>
                  <c:pt idx="4">
                    <c:v>2035</c:v>
                  </c:pt>
                  <c:pt idx="5">
                    <c:v>2040</c:v>
                  </c:pt>
                </c:lvl>
                <c:lvl>
                  <c:pt idx="0">
                    <c:v>CBO/JCT</c:v>
                  </c:pt>
                  <c:pt idx="2">
                    <c:v>US-REGEN</c:v>
                  </c:pt>
                </c:lvl>
              </c:multiLvlStrCache>
            </c:multiLvlStrRef>
          </c:cat>
          <c:val>
            <c:numRef>
              <c:f>'Tax Credit Figure (Low)'!$C$8:$H$8</c:f>
              <c:numCache>
                <c:formatCode>0.0</c:formatCode>
                <c:ptCount val="6"/>
                <c:pt idx="0">
                  <c:v>28.728999999999999</c:v>
                </c:pt>
                <c:pt idx="1">
                  <c:v>74.388999999999996</c:v>
                </c:pt>
                <c:pt idx="2">
                  <c:v>26.414216325419453</c:v>
                </c:pt>
                <c:pt idx="3">
                  <c:v>71.040974500785651</c:v>
                </c:pt>
                <c:pt idx="4">
                  <c:v>71.040974500785651</c:v>
                </c:pt>
                <c:pt idx="5">
                  <c:v>71.040974500785651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E86-41C1-9C54-FC37817AC3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30061016"/>
        <c:axId val="630058720"/>
        <c:extLst>
          <c:ext xmlns:c15="http://schemas.microsoft.com/office/drawing/2012/chart" uri="{02D57815-91ED-43cb-92C2-25804820EDAC}">
            <c15:filteredBarSeries>
              <c15:ser>
                <c:idx val="5"/>
                <c:order val="6"/>
                <c:tx>
                  <c:strRef>
                    <c:extLst>
                      <c:ext uri="{02D57815-91ED-43cb-92C2-25804820EDAC}">
                        <c15:formulaRef>
                          <c15:sqref>'Tax Credit Figure (Low)'!$B$10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>
                      <c:ext uri="{02D57815-91ED-43cb-92C2-25804820EDAC}">
                        <c15:formulaRef>
                          <c15:sqref>'Tax Credit Figure (Low)'!$C$2:$H$3</c15:sqref>
                        </c15:formulaRef>
                      </c:ext>
                    </c:extLst>
                    <c:multiLvlStrCache>
                      <c:ptCount val="6"/>
                      <c:lvl>
                        <c:pt idx="0">
                          <c:v>2026</c:v>
                        </c:pt>
                        <c:pt idx="1">
                          <c:v>2031</c:v>
                        </c:pt>
                        <c:pt idx="2">
                          <c:v>2025</c:v>
                        </c:pt>
                        <c:pt idx="3">
                          <c:v>2030</c:v>
                        </c:pt>
                        <c:pt idx="4">
                          <c:v>2035</c:v>
                        </c:pt>
                        <c:pt idx="5">
                          <c:v>2040</c:v>
                        </c:pt>
                      </c:lvl>
                      <c:lvl>
                        <c:pt idx="0">
                          <c:v>CBO/JCT</c:v>
                        </c:pt>
                        <c:pt idx="2">
                          <c:v>US-REGEN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'Tax Credit Figure (Low)'!$C$10:$H$10</c15:sqref>
                        </c15:formulaRef>
                      </c:ext>
                    </c:extLst>
                    <c:numCache>
                      <c:formatCode>0.0</c:formatCode>
                      <c:ptCount val="6"/>
                      <c:pt idx="0">
                        <c:v>75.786000000000001</c:v>
                      </c:pt>
                      <c:pt idx="1">
                        <c:v>270.67399999999998</c:v>
                      </c:pt>
                      <c:pt idx="2">
                        <c:v>83.218622870658436</c:v>
                      </c:pt>
                      <c:pt idx="3">
                        <c:v>205.98956076914789</c:v>
                      </c:pt>
                      <c:pt idx="4">
                        <c:v>285.43169197550384</c:v>
                      </c:pt>
                      <c:pt idx="5">
                        <c:v>409.91291575009137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1E86-41C1-9C54-FC37817AC398}"/>
                  </c:ext>
                </c:extLst>
              </c15:ser>
            </c15:filteredBarSeries>
          </c:ext>
        </c:extLst>
      </c:barChart>
      <c:catAx>
        <c:axId val="630061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630058720"/>
        <c:crosses val="autoZero"/>
        <c:auto val="1"/>
        <c:lblAlgn val="ctr"/>
        <c:lblOffset val="100"/>
        <c:noMultiLvlLbl val="0"/>
      </c:catAx>
      <c:valAx>
        <c:axId val="630058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Total</a:t>
                </a:r>
                <a:r>
                  <a:rPr lang="en-US" sz="1400" b="1" baseline="0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 Undiscounted Fiscal Cost (billion $)</a:t>
                </a:r>
                <a:endParaRPr lang="en-US" sz="1400" b="1">
                  <a:solidFill>
                    <a:sysClr val="windowText" lastClr="000000"/>
                  </a:solidFill>
                  <a:latin typeface="Roboto" panose="02000000000000000000" pitchFamily="2" charset="0"/>
                  <a:ea typeface="Roboto" panose="02000000000000000000" pitchFamily="2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630061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Roboto" panose="02000000000000000000" pitchFamily="2" charset="0"/>
              <a:ea typeface="Roboto" panose="02000000000000000000" pitchFamily="2" charset="0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'Tax Credit Figure (High)'!$B$5</c:f>
              <c:strCache>
                <c:ptCount val="1"/>
                <c:pt idx="0">
                  <c:v>ITC</c:v>
                </c:pt>
              </c:strCache>
            </c:strRef>
          </c:tx>
          <c:spPr>
            <a:solidFill>
              <a:srgbClr val="4F8A9E"/>
            </a:solidFill>
            <a:ln>
              <a:noFill/>
            </a:ln>
            <a:effectLst/>
          </c:spPr>
          <c:invertIfNegative val="0"/>
          <c:cat>
            <c:multiLvlStrRef>
              <c:f>'Tax Credit Figure (High)'!$C$2:$H$3</c:f>
              <c:multiLvlStrCache>
                <c:ptCount val="6"/>
                <c:lvl>
                  <c:pt idx="0">
                    <c:v>2026</c:v>
                  </c:pt>
                  <c:pt idx="1">
                    <c:v>2031</c:v>
                  </c:pt>
                  <c:pt idx="2">
                    <c:v>2025</c:v>
                  </c:pt>
                  <c:pt idx="3">
                    <c:v>2030</c:v>
                  </c:pt>
                  <c:pt idx="4">
                    <c:v>2035</c:v>
                  </c:pt>
                  <c:pt idx="5">
                    <c:v>2040</c:v>
                  </c:pt>
                </c:lvl>
                <c:lvl>
                  <c:pt idx="0">
                    <c:v>CBO/JCT</c:v>
                  </c:pt>
                  <c:pt idx="2">
                    <c:v>US-REGEN</c:v>
                  </c:pt>
                </c:lvl>
              </c:multiLvlStrCache>
            </c:multiLvlStrRef>
          </c:cat>
          <c:val>
            <c:numRef>
              <c:f>'Tax Credit Figure (High)'!$C$5:$H$5</c:f>
              <c:numCache>
                <c:formatCode>0.0</c:formatCode>
                <c:ptCount val="6"/>
                <c:pt idx="0">
                  <c:v>11.62</c:v>
                </c:pt>
                <c:pt idx="1">
                  <c:v>64.819999999999993</c:v>
                </c:pt>
                <c:pt idx="2">
                  <c:v>40.77154006541079</c:v>
                </c:pt>
                <c:pt idx="3">
                  <c:v>118.11272234730116</c:v>
                </c:pt>
                <c:pt idx="4">
                  <c:v>173.6565595378608</c:v>
                </c:pt>
                <c:pt idx="5">
                  <c:v>226.04897334172199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F8-408A-A214-A1AC54B82D66}"/>
            </c:ext>
          </c:extLst>
        </c:ser>
        <c:ser>
          <c:idx val="0"/>
          <c:order val="1"/>
          <c:tx>
            <c:strRef>
              <c:f>'Tax Credit Figure (High)'!$B$4</c:f>
              <c:strCache>
                <c:ptCount val="1"/>
                <c:pt idx="0">
                  <c:v>PTC</c:v>
                </c:pt>
              </c:strCache>
            </c:strRef>
          </c:tx>
          <c:spPr>
            <a:solidFill>
              <a:srgbClr val="A4C5CF"/>
            </a:solidFill>
            <a:ln>
              <a:noFill/>
            </a:ln>
            <a:effectLst/>
          </c:spPr>
          <c:invertIfNegative val="0"/>
          <c:cat>
            <c:multiLvlStrRef>
              <c:f>'Tax Credit Figure (High)'!$C$2:$H$3</c:f>
              <c:multiLvlStrCache>
                <c:ptCount val="6"/>
                <c:lvl>
                  <c:pt idx="0">
                    <c:v>2026</c:v>
                  </c:pt>
                  <c:pt idx="1">
                    <c:v>2031</c:v>
                  </c:pt>
                  <c:pt idx="2">
                    <c:v>2025</c:v>
                  </c:pt>
                  <c:pt idx="3">
                    <c:v>2030</c:v>
                  </c:pt>
                  <c:pt idx="4">
                    <c:v>2035</c:v>
                  </c:pt>
                  <c:pt idx="5">
                    <c:v>2040</c:v>
                  </c:pt>
                </c:lvl>
                <c:lvl>
                  <c:pt idx="0">
                    <c:v>CBO/JCT</c:v>
                  </c:pt>
                  <c:pt idx="2">
                    <c:v>US-REGEN</c:v>
                  </c:pt>
                </c:lvl>
              </c:multiLvlStrCache>
            </c:multiLvlStrRef>
          </c:cat>
          <c:val>
            <c:numRef>
              <c:f>'Tax Credit Figure (High)'!$C$4:$H$4</c:f>
              <c:numCache>
                <c:formatCode>0.0</c:formatCode>
                <c:ptCount val="6"/>
                <c:pt idx="0">
                  <c:v>21.311999999999998</c:v>
                </c:pt>
                <c:pt idx="1">
                  <c:v>92.240999999999985</c:v>
                </c:pt>
                <c:pt idx="2">
                  <c:v>16.190437649163126</c:v>
                </c:pt>
                <c:pt idx="3">
                  <c:v>172.18589529073486</c:v>
                </c:pt>
                <c:pt idx="4">
                  <c:v>423.70887434160238</c:v>
                </c:pt>
                <c:pt idx="5">
                  <c:v>624.15253266639968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F8-408A-A214-A1AC54B82D66}"/>
            </c:ext>
          </c:extLst>
        </c:ser>
        <c:ser>
          <c:idx val="2"/>
          <c:order val="2"/>
          <c:tx>
            <c:strRef>
              <c:f>'Tax Credit Figure (High)'!$B$6</c:f>
              <c:strCache>
                <c:ptCount val="1"/>
                <c:pt idx="0">
                  <c:v>45Q</c:v>
                </c:pt>
              </c:strCache>
            </c:strRef>
          </c:tx>
          <c:spPr>
            <a:solidFill>
              <a:srgbClr val="CA7378"/>
            </a:solidFill>
            <a:ln>
              <a:noFill/>
            </a:ln>
            <a:effectLst/>
          </c:spPr>
          <c:invertIfNegative val="0"/>
          <c:cat>
            <c:multiLvlStrRef>
              <c:f>'Tax Credit Figure (High)'!$C$2:$H$3</c:f>
              <c:multiLvlStrCache>
                <c:ptCount val="6"/>
                <c:lvl>
                  <c:pt idx="0">
                    <c:v>2026</c:v>
                  </c:pt>
                  <c:pt idx="1">
                    <c:v>2031</c:v>
                  </c:pt>
                  <c:pt idx="2">
                    <c:v>2025</c:v>
                  </c:pt>
                  <c:pt idx="3">
                    <c:v>2030</c:v>
                  </c:pt>
                  <c:pt idx="4">
                    <c:v>2035</c:v>
                  </c:pt>
                  <c:pt idx="5">
                    <c:v>2040</c:v>
                  </c:pt>
                </c:lvl>
                <c:lvl>
                  <c:pt idx="0">
                    <c:v>CBO/JCT</c:v>
                  </c:pt>
                  <c:pt idx="2">
                    <c:v>US-REGEN</c:v>
                  </c:pt>
                </c:lvl>
              </c:multiLvlStrCache>
            </c:multiLvlStrRef>
          </c:cat>
          <c:val>
            <c:numRef>
              <c:f>'Tax Credit Figure (High)'!$C$6:$H$6</c:f>
              <c:numCache>
                <c:formatCode>0.0</c:formatCode>
                <c:ptCount val="6"/>
                <c:pt idx="0">
                  <c:v>1.3090000000000002</c:v>
                </c:pt>
                <c:pt idx="1">
                  <c:v>3.2290000000000001</c:v>
                </c:pt>
                <c:pt idx="2">
                  <c:v>0</c:v>
                </c:pt>
                <c:pt idx="3">
                  <c:v>101.83036818269264</c:v>
                </c:pt>
                <c:pt idx="4">
                  <c:v>205.69603063596134</c:v>
                </c:pt>
                <c:pt idx="5">
                  <c:v>245.81102416247663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F8-408A-A214-A1AC54B82D66}"/>
            </c:ext>
          </c:extLst>
        </c:ser>
        <c:ser>
          <c:idx val="6"/>
          <c:order val="3"/>
          <c:tx>
            <c:v>45V</c:v>
          </c:tx>
          <c:spPr>
            <a:solidFill>
              <a:srgbClr val="9B3B40"/>
            </a:solidFill>
            <a:ln>
              <a:noFill/>
            </a:ln>
            <a:effectLst/>
          </c:spPr>
          <c:invertIfNegative val="0"/>
          <c:val>
            <c:numRef>
              <c:f>'Tax Credit Figure (High)'!$C$9:$H$9</c:f>
              <c:numCache>
                <c:formatCode>General</c:formatCode>
                <c:ptCount val="6"/>
                <c:pt idx="2" formatCode="0.0">
                  <c:v>25.72672302379895</c:v>
                </c:pt>
                <c:pt idx="3" formatCode="0.0">
                  <c:v>76.937353057648252</c:v>
                </c:pt>
                <c:pt idx="4" formatCode="0.0">
                  <c:v>96.305475955065617</c:v>
                </c:pt>
                <c:pt idx="5" formatCode="0.0">
                  <c:v>96.502439916734275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F8-408A-A214-A1AC54B82D66}"/>
            </c:ext>
          </c:extLst>
        </c:ser>
        <c:ser>
          <c:idx val="3"/>
          <c:order val="4"/>
          <c:tx>
            <c:strRef>
              <c:f>'Tax Credit Figure (High)'!$B$7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rgbClr val="D9D9D9"/>
            </a:solidFill>
            <a:ln>
              <a:noFill/>
            </a:ln>
            <a:effectLst/>
          </c:spPr>
          <c:invertIfNegative val="0"/>
          <c:cat>
            <c:multiLvlStrRef>
              <c:f>'Tax Credit Figure (High)'!$C$2:$H$3</c:f>
              <c:multiLvlStrCache>
                <c:ptCount val="6"/>
                <c:lvl>
                  <c:pt idx="0">
                    <c:v>2026</c:v>
                  </c:pt>
                  <c:pt idx="1">
                    <c:v>2031</c:v>
                  </c:pt>
                  <c:pt idx="2">
                    <c:v>2025</c:v>
                  </c:pt>
                  <c:pt idx="3">
                    <c:v>2030</c:v>
                  </c:pt>
                  <c:pt idx="4">
                    <c:v>2035</c:v>
                  </c:pt>
                  <c:pt idx="5">
                    <c:v>2040</c:v>
                  </c:pt>
                </c:lvl>
                <c:lvl>
                  <c:pt idx="0">
                    <c:v>CBO/JCT</c:v>
                  </c:pt>
                  <c:pt idx="2">
                    <c:v>US-REGEN</c:v>
                  </c:pt>
                </c:lvl>
              </c:multiLvlStrCache>
            </c:multiLvlStrRef>
          </c:cat>
          <c:val>
            <c:numRef>
              <c:f>'Tax Credit Figure (High)'!$C$7:$H$7</c:f>
              <c:numCache>
                <c:formatCode>0.0</c:formatCode>
                <c:ptCount val="6"/>
                <c:pt idx="0">
                  <c:v>12.816000000000001</c:v>
                </c:pt>
                <c:pt idx="1">
                  <c:v>35.994999999999997</c:v>
                </c:pt>
                <c:pt idx="2">
                  <c:v>5.4275786970039972</c:v>
                </c:pt>
                <c:pt idx="3">
                  <c:v>328.67004331857538</c:v>
                </c:pt>
                <c:pt idx="4">
                  <c:v>328.67004331857538</c:v>
                </c:pt>
                <c:pt idx="5">
                  <c:v>328.67004331857538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F8-408A-A214-A1AC54B82D66}"/>
            </c:ext>
          </c:extLst>
        </c:ser>
        <c:ser>
          <c:idx val="4"/>
          <c:order val="5"/>
          <c:tx>
            <c:strRef>
              <c:f>'Tax Credit Figure (High)'!$B$8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FFE699"/>
            </a:solidFill>
            <a:ln>
              <a:noFill/>
            </a:ln>
            <a:effectLst/>
          </c:spPr>
          <c:invertIfNegative val="0"/>
          <c:cat>
            <c:multiLvlStrRef>
              <c:f>'Tax Credit Figure (High)'!$C$2:$H$3</c:f>
              <c:multiLvlStrCache>
                <c:ptCount val="6"/>
                <c:lvl>
                  <c:pt idx="0">
                    <c:v>2026</c:v>
                  </c:pt>
                  <c:pt idx="1">
                    <c:v>2031</c:v>
                  </c:pt>
                  <c:pt idx="2">
                    <c:v>2025</c:v>
                  </c:pt>
                  <c:pt idx="3">
                    <c:v>2030</c:v>
                  </c:pt>
                  <c:pt idx="4">
                    <c:v>2035</c:v>
                  </c:pt>
                  <c:pt idx="5">
                    <c:v>2040</c:v>
                  </c:pt>
                </c:lvl>
                <c:lvl>
                  <c:pt idx="0">
                    <c:v>CBO/JCT</c:v>
                  </c:pt>
                  <c:pt idx="2">
                    <c:v>US-REGEN</c:v>
                  </c:pt>
                </c:lvl>
              </c:multiLvlStrCache>
            </c:multiLvlStrRef>
          </c:cat>
          <c:val>
            <c:numRef>
              <c:f>'Tax Credit Figure (High)'!$C$8:$H$8</c:f>
              <c:numCache>
                <c:formatCode>0.0</c:formatCode>
                <c:ptCount val="6"/>
                <c:pt idx="0">
                  <c:v>28.728999999999999</c:v>
                </c:pt>
                <c:pt idx="1">
                  <c:v>74.388999999999996</c:v>
                </c:pt>
                <c:pt idx="2">
                  <c:v>25.690539165818919</c:v>
                </c:pt>
                <c:pt idx="3">
                  <c:v>69.714233041518014</c:v>
                </c:pt>
                <c:pt idx="4">
                  <c:v>69.714233041518014</c:v>
                </c:pt>
                <c:pt idx="5">
                  <c:v>69.714233041518014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F8-408A-A214-A1AC54B82D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30061016"/>
        <c:axId val="630058720"/>
        <c:extLst>
          <c:ext xmlns:c15="http://schemas.microsoft.com/office/drawing/2012/chart" uri="{02D57815-91ED-43cb-92C2-25804820EDAC}">
            <c15:filteredBarSeries>
              <c15:ser>
                <c:idx val="5"/>
                <c:order val="6"/>
                <c:tx>
                  <c:strRef>
                    <c:extLst>
                      <c:ext uri="{02D57815-91ED-43cb-92C2-25804820EDAC}">
                        <c15:formulaRef>
                          <c15:sqref>'Tax Credit Figure (High)'!$B$10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>
                      <c:ext uri="{02D57815-91ED-43cb-92C2-25804820EDAC}">
                        <c15:formulaRef>
                          <c15:sqref>'Tax Credit Figure (High)'!$C$2:$H$3</c15:sqref>
                        </c15:formulaRef>
                      </c:ext>
                    </c:extLst>
                    <c:multiLvlStrCache>
                      <c:ptCount val="6"/>
                      <c:lvl>
                        <c:pt idx="0">
                          <c:v>2026</c:v>
                        </c:pt>
                        <c:pt idx="1">
                          <c:v>2031</c:v>
                        </c:pt>
                        <c:pt idx="2">
                          <c:v>2025</c:v>
                        </c:pt>
                        <c:pt idx="3">
                          <c:v>2030</c:v>
                        </c:pt>
                        <c:pt idx="4">
                          <c:v>2035</c:v>
                        </c:pt>
                        <c:pt idx="5">
                          <c:v>2040</c:v>
                        </c:pt>
                      </c:lvl>
                      <c:lvl>
                        <c:pt idx="0">
                          <c:v>CBO/JCT</c:v>
                        </c:pt>
                        <c:pt idx="2">
                          <c:v>US-REGEN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'Tax Credit Figure (High)'!$C$10:$H$10</c15:sqref>
                        </c15:formulaRef>
                      </c:ext>
                    </c:extLst>
                    <c:numCache>
                      <c:formatCode>0.0</c:formatCode>
                      <c:ptCount val="6"/>
                      <c:pt idx="0">
                        <c:v>75.786000000000001</c:v>
                      </c:pt>
                      <c:pt idx="1">
                        <c:v>270.67399999999998</c:v>
                      </c:pt>
                      <c:pt idx="2">
                        <c:v>113.80681860119579</c:v>
                      </c:pt>
                      <c:pt idx="3">
                        <c:v>867.45061523847028</c:v>
                      </c:pt>
                      <c:pt idx="4">
                        <c:v>1297.7512168305834</c:v>
                      </c:pt>
                      <c:pt idx="5">
                        <c:v>1590.8992464474261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78F8-408A-A214-A1AC54B82D66}"/>
                  </c:ext>
                </c:extLst>
              </c15:ser>
            </c15:filteredBarSeries>
          </c:ext>
        </c:extLst>
      </c:barChart>
      <c:catAx>
        <c:axId val="630061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630058720"/>
        <c:crosses val="autoZero"/>
        <c:auto val="1"/>
        <c:lblAlgn val="ctr"/>
        <c:lblOffset val="100"/>
        <c:noMultiLvlLbl val="0"/>
      </c:catAx>
      <c:valAx>
        <c:axId val="630058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Total</a:t>
                </a:r>
                <a:r>
                  <a:rPr lang="en-US" sz="1400" b="1" baseline="0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 Undiscounted Fiscal Cost (billion $)</a:t>
                </a:r>
                <a:endParaRPr lang="en-US" sz="1400" b="1">
                  <a:solidFill>
                    <a:sysClr val="windowText" lastClr="000000"/>
                  </a:solidFill>
                  <a:latin typeface="Roboto" panose="02000000000000000000" pitchFamily="2" charset="0"/>
                  <a:ea typeface="Roboto" panose="02000000000000000000" pitchFamily="2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630061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Roboto" panose="02000000000000000000" pitchFamily="2" charset="0"/>
              <a:ea typeface="Roboto" panose="02000000000000000000" pitchFamily="2" charset="0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0"/>
          <c:tx>
            <c:v>ITC</c:v>
          </c:tx>
          <c:spPr>
            <a:solidFill>
              <a:srgbClr val="4F8A9E"/>
            </a:solidFill>
            <a:ln>
              <a:noFill/>
            </a:ln>
            <a:effectLst/>
          </c:spPr>
          <c:invertIfNegative val="0"/>
          <c:cat>
            <c:multiLvlStrRef>
              <c:f>'Tax Cred Summary'!$B$2:$K$3</c:f>
              <c:multiLvlStrCache>
                <c:ptCount val="10"/>
                <c:lvl>
                  <c:pt idx="0">
                    <c:v>2031</c:v>
                  </c:pt>
                  <c:pt idx="1">
                    <c:v>2031</c:v>
                  </c:pt>
                  <c:pt idx="2">
                    <c:v>2035</c:v>
                  </c:pt>
                  <c:pt idx="3">
                    <c:v>2040</c:v>
                  </c:pt>
                  <c:pt idx="4">
                    <c:v>2031</c:v>
                  </c:pt>
                  <c:pt idx="5">
                    <c:v>2035</c:v>
                  </c:pt>
                  <c:pt idx="6">
                    <c:v>2040</c:v>
                  </c:pt>
                  <c:pt idx="7">
                    <c:v>2031</c:v>
                  </c:pt>
                  <c:pt idx="8">
                    <c:v>2035</c:v>
                  </c:pt>
                  <c:pt idx="9">
                    <c:v>2040</c:v>
                  </c:pt>
                </c:lvl>
                <c:lvl>
                  <c:pt idx="0">
                    <c:v>CBO/JCT</c:v>
                  </c:pt>
                  <c:pt idx="1">
                    <c:v>US-REGEN Lower</c:v>
                  </c:pt>
                  <c:pt idx="4">
                    <c:v>US-REGEN Central</c:v>
                  </c:pt>
                  <c:pt idx="7">
                    <c:v>US-REGEN Higher</c:v>
                  </c:pt>
                </c:lvl>
              </c:multiLvlStrCache>
            </c:multiLvlStrRef>
          </c:cat>
          <c:val>
            <c:numRef>
              <c:f>'Tax Cred Summary'!$B$5:$K$5</c:f>
              <c:numCache>
                <c:formatCode>0.0</c:formatCode>
                <c:ptCount val="10"/>
                <c:pt idx="0">
                  <c:v>64.819999999999993</c:v>
                </c:pt>
                <c:pt idx="1">
                  <c:v>89.508426980552841</c:v>
                </c:pt>
                <c:pt idx="2">
                  <c:v>112.07107247841215</c:v>
                </c:pt>
                <c:pt idx="3">
                  <c:v>126.76798673072967</c:v>
                </c:pt>
                <c:pt idx="4">
                  <c:v>100.34018898983531</c:v>
                </c:pt>
                <c:pt idx="5">
                  <c:v>132.0070598640238</c:v>
                </c:pt>
                <c:pt idx="6">
                  <c:v>162.30253954978261</c:v>
                </c:pt>
                <c:pt idx="7">
                  <c:v>142.83315261744741</c:v>
                </c:pt>
                <c:pt idx="8">
                  <c:v>198.64601253320464</c:v>
                </c:pt>
                <c:pt idx="9">
                  <c:v>270.59777678688181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F8-468D-A8E3-2F80AF312E4F}"/>
            </c:ext>
          </c:extLst>
        </c:ser>
        <c:ser>
          <c:idx val="0"/>
          <c:order val="1"/>
          <c:tx>
            <c:v>PTC</c:v>
          </c:tx>
          <c:spPr>
            <a:solidFill>
              <a:srgbClr val="A4C5CF"/>
            </a:solidFill>
            <a:ln>
              <a:noFill/>
            </a:ln>
            <a:effectLst/>
          </c:spPr>
          <c:invertIfNegative val="0"/>
          <c:cat>
            <c:multiLvlStrRef>
              <c:f>'Tax Cred Summary'!$B$2:$K$3</c:f>
              <c:multiLvlStrCache>
                <c:ptCount val="10"/>
                <c:lvl>
                  <c:pt idx="0">
                    <c:v>2031</c:v>
                  </c:pt>
                  <c:pt idx="1">
                    <c:v>2031</c:v>
                  </c:pt>
                  <c:pt idx="2">
                    <c:v>2035</c:v>
                  </c:pt>
                  <c:pt idx="3">
                    <c:v>2040</c:v>
                  </c:pt>
                  <c:pt idx="4">
                    <c:v>2031</c:v>
                  </c:pt>
                  <c:pt idx="5">
                    <c:v>2035</c:v>
                  </c:pt>
                  <c:pt idx="6">
                    <c:v>2040</c:v>
                  </c:pt>
                  <c:pt idx="7">
                    <c:v>2031</c:v>
                  </c:pt>
                  <c:pt idx="8">
                    <c:v>2035</c:v>
                  </c:pt>
                  <c:pt idx="9">
                    <c:v>2040</c:v>
                  </c:pt>
                </c:lvl>
                <c:lvl>
                  <c:pt idx="0">
                    <c:v>CBO/JCT</c:v>
                  </c:pt>
                  <c:pt idx="1">
                    <c:v>US-REGEN Lower</c:v>
                  </c:pt>
                  <c:pt idx="4">
                    <c:v>US-REGEN Central</c:v>
                  </c:pt>
                  <c:pt idx="7">
                    <c:v>US-REGEN Higher</c:v>
                  </c:pt>
                </c:lvl>
              </c:multiLvlStrCache>
            </c:multiLvlStrRef>
          </c:cat>
          <c:val>
            <c:numRef>
              <c:f>'Tax Cred Summary'!$B$4:$K$4</c:f>
              <c:numCache>
                <c:formatCode>0.0</c:formatCode>
                <c:ptCount val="10"/>
                <c:pt idx="0">
                  <c:v>92.240999999999985</c:v>
                </c:pt>
                <c:pt idx="1">
                  <c:v>50.127121840925064</c:v>
                </c:pt>
                <c:pt idx="2">
                  <c:v>107.39138000508258</c:v>
                </c:pt>
                <c:pt idx="3">
                  <c:v>263.64752969383278</c:v>
                </c:pt>
                <c:pt idx="4">
                  <c:v>117.31635521424595</c:v>
                </c:pt>
                <c:pt idx="5">
                  <c:v>231.84487154256098</c:v>
                </c:pt>
                <c:pt idx="6">
                  <c:v>405.68321926322477</c:v>
                </c:pt>
                <c:pt idx="7">
                  <c:v>252.71050186123574</c:v>
                </c:pt>
                <c:pt idx="8">
                  <c:v>505.45171502585265</c:v>
                </c:pt>
                <c:pt idx="9">
                  <c:v>780.72582062294111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F8-468D-A8E3-2F80AF312E4F}"/>
            </c:ext>
          </c:extLst>
        </c:ser>
        <c:ser>
          <c:idx val="2"/>
          <c:order val="2"/>
          <c:tx>
            <c:v>45Q</c:v>
          </c:tx>
          <c:spPr>
            <a:solidFill>
              <a:srgbClr val="CA7378"/>
            </a:solidFill>
            <a:ln>
              <a:noFill/>
            </a:ln>
            <a:effectLst/>
          </c:spPr>
          <c:invertIfNegative val="0"/>
          <c:cat>
            <c:multiLvlStrRef>
              <c:f>'Tax Cred Summary'!$B$2:$K$3</c:f>
              <c:multiLvlStrCache>
                <c:ptCount val="10"/>
                <c:lvl>
                  <c:pt idx="0">
                    <c:v>2031</c:v>
                  </c:pt>
                  <c:pt idx="1">
                    <c:v>2031</c:v>
                  </c:pt>
                  <c:pt idx="2">
                    <c:v>2035</c:v>
                  </c:pt>
                  <c:pt idx="3">
                    <c:v>2040</c:v>
                  </c:pt>
                  <c:pt idx="4">
                    <c:v>2031</c:v>
                  </c:pt>
                  <c:pt idx="5">
                    <c:v>2035</c:v>
                  </c:pt>
                  <c:pt idx="6">
                    <c:v>2040</c:v>
                  </c:pt>
                  <c:pt idx="7">
                    <c:v>2031</c:v>
                  </c:pt>
                  <c:pt idx="8">
                    <c:v>2035</c:v>
                  </c:pt>
                  <c:pt idx="9">
                    <c:v>2040</c:v>
                  </c:pt>
                </c:lvl>
                <c:lvl>
                  <c:pt idx="0">
                    <c:v>CBO/JCT</c:v>
                  </c:pt>
                  <c:pt idx="1">
                    <c:v>US-REGEN Lower</c:v>
                  </c:pt>
                  <c:pt idx="4">
                    <c:v>US-REGEN Central</c:v>
                  </c:pt>
                  <c:pt idx="7">
                    <c:v>US-REGEN Higher</c:v>
                  </c:pt>
                </c:lvl>
              </c:multiLvlStrCache>
            </c:multiLvlStrRef>
          </c:cat>
          <c:val>
            <c:numRef>
              <c:f>'Tax Cred Summary'!$B$6:$K$6</c:f>
              <c:numCache>
                <c:formatCode>0.0</c:formatCode>
                <c:ptCount val="10"/>
                <c:pt idx="0">
                  <c:v>3.2290000000000001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100.15413479067988</c:v>
                </c:pt>
                <c:pt idx="5">
                  <c:v>174.17544545909544</c:v>
                </c:pt>
                <c:pt idx="6">
                  <c:v>209.79066711348455</c:v>
                </c:pt>
                <c:pt idx="7">
                  <c:v>139.54832516281223</c:v>
                </c:pt>
                <c:pt idx="8">
                  <c:v>243.9170537523251</c:v>
                </c:pt>
                <c:pt idx="9">
                  <c:v>299.00794091898774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F8-468D-A8E3-2F80AF312E4F}"/>
            </c:ext>
          </c:extLst>
        </c:ser>
        <c:ser>
          <c:idx val="6"/>
          <c:order val="3"/>
          <c:tx>
            <c:v>45V</c:v>
          </c:tx>
          <c:spPr>
            <a:solidFill>
              <a:srgbClr val="9B3B40"/>
            </a:solidFill>
            <a:ln>
              <a:noFill/>
            </a:ln>
            <a:effectLst/>
          </c:spPr>
          <c:invertIfNegative val="0"/>
          <c:cat>
            <c:multiLvlStrRef>
              <c:f>'Tax Cred Summary'!$B$2:$K$3</c:f>
              <c:multiLvlStrCache>
                <c:ptCount val="10"/>
                <c:lvl>
                  <c:pt idx="0">
                    <c:v>2031</c:v>
                  </c:pt>
                  <c:pt idx="1">
                    <c:v>2031</c:v>
                  </c:pt>
                  <c:pt idx="2">
                    <c:v>2035</c:v>
                  </c:pt>
                  <c:pt idx="3">
                    <c:v>2040</c:v>
                  </c:pt>
                  <c:pt idx="4">
                    <c:v>2031</c:v>
                  </c:pt>
                  <c:pt idx="5">
                    <c:v>2035</c:v>
                  </c:pt>
                  <c:pt idx="6">
                    <c:v>2040</c:v>
                  </c:pt>
                  <c:pt idx="7">
                    <c:v>2031</c:v>
                  </c:pt>
                  <c:pt idx="8">
                    <c:v>2035</c:v>
                  </c:pt>
                  <c:pt idx="9">
                    <c:v>2040</c:v>
                  </c:pt>
                </c:lvl>
                <c:lvl>
                  <c:pt idx="0">
                    <c:v>CBO/JCT</c:v>
                  </c:pt>
                  <c:pt idx="1">
                    <c:v>US-REGEN Lower</c:v>
                  </c:pt>
                  <c:pt idx="4">
                    <c:v>US-REGEN Central</c:v>
                  </c:pt>
                  <c:pt idx="7">
                    <c:v>US-REGEN Higher</c:v>
                  </c:pt>
                </c:lvl>
              </c:multiLvlStrCache>
            </c:multiLvlStrRef>
          </c:cat>
          <c:val>
            <c:numRef>
              <c:f>'Tax Cred Summary'!$B$7:$K$7</c:f>
              <c:numCache>
                <c:formatCode>0.0</c:formatCode>
                <c:ptCount val="10"/>
                <c:pt idx="0">
                  <c:v>7.8490000000000002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91.467063801608646</c:v>
                </c:pt>
                <c:pt idx="8">
                  <c:v>110.92899485970366</c:v>
                </c:pt>
                <c:pt idx="9">
                  <c:v>111.19949021404079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F8-468D-A8E3-2F80AF312E4F}"/>
            </c:ext>
          </c:extLst>
        </c:ser>
        <c:ser>
          <c:idx val="3"/>
          <c:order val="4"/>
          <c:tx>
            <c:v>Transport</c:v>
          </c:tx>
          <c:spPr>
            <a:solidFill>
              <a:srgbClr val="D9D9D9"/>
            </a:solidFill>
            <a:ln>
              <a:noFill/>
            </a:ln>
            <a:effectLst/>
          </c:spPr>
          <c:invertIfNegative val="0"/>
          <c:cat>
            <c:multiLvlStrRef>
              <c:f>'Tax Cred Summary'!$B$2:$K$3</c:f>
              <c:multiLvlStrCache>
                <c:ptCount val="10"/>
                <c:lvl>
                  <c:pt idx="0">
                    <c:v>2031</c:v>
                  </c:pt>
                  <c:pt idx="1">
                    <c:v>2031</c:v>
                  </c:pt>
                  <c:pt idx="2">
                    <c:v>2035</c:v>
                  </c:pt>
                  <c:pt idx="3">
                    <c:v>2040</c:v>
                  </c:pt>
                  <c:pt idx="4">
                    <c:v>2031</c:v>
                  </c:pt>
                  <c:pt idx="5">
                    <c:v>2035</c:v>
                  </c:pt>
                  <c:pt idx="6">
                    <c:v>2040</c:v>
                  </c:pt>
                  <c:pt idx="7">
                    <c:v>2031</c:v>
                  </c:pt>
                  <c:pt idx="8">
                    <c:v>2035</c:v>
                  </c:pt>
                  <c:pt idx="9">
                    <c:v>2040</c:v>
                  </c:pt>
                </c:lvl>
                <c:lvl>
                  <c:pt idx="0">
                    <c:v>CBO/JCT</c:v>
                  </c:pt>
                  <c:pt idx="1">
                    <c:v>US-REGEN Lower</c:v>
                  </c:pt>
                  <c:pt idx="4">
                    <c:v>US-REGEN Central</c:v>
                  </c:pt>
                  <c:pt idx="7">
                    <c:v>US-REGEN Higher</c:v>
                  </c:pt>
                </c:lvl>
              </c:multiLvlStrCache>
            </c:multiLvlStrRef>
          </c:cat>
          <c:val>
            <c:numRef>
              <c:f>'Tax Cred Summary'!$B$8:$K$8</c:f>
              <c:numCache>
                <c:formatCode>0.0</c:formatCode>
                <c:ptCount val="10"/>
                <c:pt idx="0">
                  <c:v>28.145999999999997</c:v>
                </c:pt>
                <c:pt idx="1">
                  <c:v>26.497173466149547</c:v>
                </c:pt>
                <c:pt idx="2">
                  <c:v>26.497173466149547</c:v>
                </c:pt>
                <c:pt idx="3">
                  <c:v>26.497173466149547</c:v>
                </c:pt>
                <c:pt idx="4">
                  <c:v>386.87828374193271</c:v>
                </c:pt>
                <c:pt idx="5">
                  <c:v>386.87828374193271</c:v>
                </c:pt>
                <c:pt idx="6">
                  <c:v>386.87828374193271</c:v>
                </c:pt>
                <c:pt idx="7">
                  <c:v>369.81387251055696</c:v>
                </c:pt>
                <c:pt idx="8">
                  <c:v>369.81387251055696</c:v>
                </c:pt>
                <c:pt idx="9">
                  <c:v>369.81387251055696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AF8-468D-A8E3-2F80AF312E4F}"/>
            </c:ext>
          </c:extLst>
        </c:ser>
        <c:ser>
          <c:idx val="4"/>
          <c:order val="5"/>
          <c:tx>
            <c:v>Other Tax Credits</c:v>
          </c:tx>
          <c:spPr>
            <a:solidFill>
              <a:srgbClr val="FFE699"/>
            </a:solidFill>
            <a:ln>
              <a:noFill/>
            </a:ln>
            <a:effectLst/>
          </c:spPr>
          <c:invertIfNegative val="0"/>
          <c:cat>
            <c:multiLvlStrRef>
              <c:f>'Tax Cred Summary'!$B$2:$K$3</c:f>
              <c:multiLvlStrCache>
                <c:ptCount val="10"/>
                <c:lvl>
                  <c:pt idx="0">
                    <c:v>2031</c:v>
                  </c:pt>
                  <c:pt idx="1">
                    <c:v>2031</c:v>
                  </c:pt>
                  <c:pt idx="2">
                    <c:v>2035</c:v>
                  </c:pt>
                  <c:pt idx="3">
                    <c:v>2040</c:v>
                  </c:pt>
                  <c:pt idx="4">
                    <c:v>2031</c:v>
                  </c:pt>
                  <c:pt idx="5">
                    <c:v>2035</c:v>
                  </c:pt>
                  <c:pt idx="6">
                    <c:v>2040</c:v>
                  </c:pt>
                  <c:pt idx="7">
                    <c:v>2031</c:v>
                  </c:pt>
                  <c:pt idx="8">
                    <c:v>2035</c:v>
                  </c:pt>
                  <c:pt idx="9">
                    <c:v>2040</c:v>
                  </c:pt>
                </c:lvl>
                <c:lvl>
                  <c:pt idx="0">
                    <c:v>CBO/JCT</c:v>
                  </c:pt>
                  <c:pt idx="1">
                    <c:v>US-REGEN Lower</c:v>
                  </c:pt>
                  <c:pt idx="4">
                    <c:v>US-REGEN Central</c:v>
                  </c:pt>
                  <c:pt idx="7">
                    <c:v>US-REGEN Higher</c:v>
                  </c:pt>
                </c:lvl>
              </c:multiLvlStrCache>
            </c:multiLvlStrRef>
          </c:cat>
          <c:val>
            <c:numRef>
              <c:f>'Tax Cred Summary'!$B$9:$K$9</c:f>
              <c:numCache>
                <c:formatCode>0.0</c:formatCode>
                <c:ptCount val="10"/>
                <c:pt idx="0">
                  <c:v>74.388999999999996</c:v>
                </c:pt>
                <c:pt idx="1">
                  <c:v>77.761631113644796</c:v>
                </c:pt>
                <c:pt idx="2">
                  <c:v>77.761631113644796</c:v>
                </c:pt>
                <c:pt idx="3">
                  <c:v>77.761631113644796</c:v>
                </c:pt>
                <c:pt idx="4">
                  <c:v>76.329204272442439</c:v>
                </c:pt>
                <c:pt idx="5">
                  <c:v>76.329204272442439</c:v>
                </c:pt>
                <c:pt idx="6">
                  <c:v>76.329204272442439</c:v>
                </c:pt>
                <c:pt idx="7">
                  <c:v>76.329204272442439</c:v>
                </c:pt>
                <c:pt idx="8">
                  <c:v>76.329204272442439</c:v>
                </c:pt>
                <c:pt idx="9">
                  <c:v>76.329204272442439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AF8-468D-A8E3-2F80AF312E4F}"/>
            </c:ext>
          </c:extLst>
        </c:ser>
        <c:ser>
          <c:idx val="5"/>
          <c:order val="6"/>
          <c:tx>
            <c:v>Direct</c:v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'Tax Cred Summary'!$B$2:$K$3</c:f>
              <c:multiLvlStrCache>
                <c:ptCount val="10"/>
                <c:lvl>
                  <c:pt idx="0">
                    <c:v>2031</c:v>
                  </c:pt>
                  <c:pt idx="1">
                    <c:v>2031</c:v>
                  </c:pt>
                  <c:pt idx="2">
                    <c:v>2035</c:v>
                  </c:pt>
                  <c:pt idx="3">
                    <c:v>2040</c:v>
                  </c:pt>
                  <c:pt idx="4">
                    <c:v>2031</c:v>
                  </c:pt>
                  <c:pt idx="5">
                    <c:v>2035</c:v>
                  </c:pt>
                  <c:pt idx="6">
                    <c:v>2040</c:v>
                  </c:pt>
                  <c:pt idx="7">
                    <c:v>2031</c:v>
                  </c:pt>
                  <c:pt idx="8">
                    <c:v>2035</c:v>
                  </c:pt>
                  <c:pt idx="9">
                    <c:v>2040</c:v>
                  </c:pt>
                </c:lvl>
                <c:lvl>
                  <c:pt idx="0">
                    <c:v>CBO/JCT</c:v>
                  </c:pt>
                  <c:pt idx="1">
                    <c:v>US-REGEN Lower</c:v>
                  </c:pt>
                  <c:pt idx="4">
                    <c:v>US-REGEN Central</c:v>
                  </c:pt>
                  <c:pt idx="7">
                    <c:v>US-REGEN Higher</c:v>
                  </c:pt>
                </c:lvl>
              </c:multiLvlStrCache>
            </c:multiLvlStrRef>
          </c:cat>
          <c:val>
            <c:numRef>
              <c:f>'Tax Cred Summary'!$B$11:$K$11</c:f>
              <c:numCache>
                <c:formatCode>0.0</c:formatCode>
                <c:ptCount val="10"/>
                <c:pt idx="0">
                  <c:v>121</c:v>
                </c:pt>
                <c:pt idx="1">
                  <c:v>121</c:v>
                </c:pt>
                <c:pt idx="2">
                  <c:v>121</c:v>
                </c:pt>
                <c:pt idx="3">
                  <c:v>121</c:v>
                </c:pt>
                <c:pt idx="4">
                  <c:v>121</c:v>
                </c:pt>
                <c:pt idx="5">
                  <c:v>121</c:v>
                </c:pt>
                <c:pt idx="6">
                  <c:v>121</c:v>
                </c:pt>
                <c:pt idx="7">
                  <c:v>121</c:v>
                </c:pt>
                <c:pt idx="8">
                  <c:v>121</c:v>
                </c:pt>
                <c:pt idx="9">
                  <c:v>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AF8-468D-A8E3-2F80AF312E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30061016"/>
        <c:axId val="630058720"/>
        <c:extLst/>
      </c:barChart>
      <c:catAx>
        <c:axId val="630061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630058720"/>
        <c:crosses val="autoZero"/>
        <c:auto val="1"/>
        <c:lblAlgn val="ctr"/>
        <c:lblOffset val="100"/>
        <c:noMultiLvlLbl val="0"/>
      </c:catAx>
      <c:valAx>
        <c:axId val="630058720"/>
        <c:scaling>
          <c:orientation val="minMax"/>
          <c:max val="2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Total</a:t>
                </a:r>
                <a:r>
                  <a:rPr lang="en-US" sz="1400" b="1" baseline="0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 Undiscounted Fiscal Cost (billion $)</a:t>
                </a:r>
                <a:endParaRPr lang="en-US" sz="1400" b="1">
                  <a:solidFill>
                    <a:sysClr val="windowText" lastClr="000000"/>
                  </a:solidFill>
                  <a:latin typeface="Roboto" panose="02000000000000000000" pitchFamily="2" charset="0"/>
                  <a:ea typeface="Roboto" panose="02000000000000000000" pitchFamily="2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630061016"/>
        <c:crosses val="autoZero"/>
        <c:crossBetween val="between"/>
        <c:majorUnit val="200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Roboto" panose="02000000000000000000" pitchFamily="2" charset="0"/>
              <a:ea typeface="Roboto" panose="02000000000000000000" pitchFamily="2" charset="0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0"/>
          <c:tx>
            <c:v>ITC</c:v>
          </c:tx>
          <c:spPr>
            <a:solidFill>
              <a:srgbClr val="4F8A9E"/>
            </a:solidFill>
            <a:ln>
              <a:noFill/>
            </a:ln>
            <a:effectLst/>
          </c:spPr>
          <c:invertIfNegative val="0"/>
          <c:cat>
            <c:multiLvlStrRef>
              <c:f>'Tax Cred Summary'!$B$16:$E$17</c:f>
              <c:multiLvlStrCache>
                <c:ptCount val="4"/>
                <c:lvl>
                  <c:pt idx="0">
                    <c:v>2030</c:v>
                  </c:pt>
                  <c:pt idx="1">
                    <c:v>2030 Lower</c:v>
                  </c:pt>
                  <c:pt idx="2">
                    <c:v>2030 Central</c:v>
                  </c:pt>
                  <c:pt idx="3">
                    <c:v>2030 Higher</c:v>
                  </c:pt>
                </c:lvl>
                <c:lvl>
                  <c:pt idx="0">
                    <c:v>CBO/JCT</c:v>
                  </c:pt>
                  <c:pt idx="1">
                    <c:v>US-REGEN</c:v>
                  </c:pt>
                </c:lvl>
              </c:multiLvlStrCache>
            </c:multiLvlStrRef>
          </c:cat>
          <c:val>
            <c:numRef>
              <c:f>'Tax Cred Summary'!$B$19:$E$19</c:f>
              <c:numCache>
                <c:formatCode>0.0</c:formatCode>
                <c:ptCount val="4"/>
                <c:pt idx="0">
                  <c:v>11.273</c:v>
                </c:pt>
                <c:pt idx="1">
                  <c:v>8.6771277201575661</c:v>
                </c:pt>
                <c:pt idx="2">
                  <c:v>11.477193757513378</c:v>
                </c:pt>
                <c:pt idx="3">
                  <c:v>18.123504351676615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09-4590-A8A5-7CCFDC8DB305}"/>
            </c:ext>
          </c:extLst>
        </c:ser>
        <c:ser>
          <c:idx val="0"/>
          <c:order val="1"/>
          <c:tx>
            <c:v>PTC</c:v>
          </c:tx>
          <c:spPr>
            <a:solidFill>
              <a:srgbClr val="A4C5CF"/>
            </a:solidFill>
            <a:ln>
              <a:noFill/>
            </a:ln>
            <a:effectLst/>
          </c:spPr>
          <c:invertIfNegative val="0"/>
          <c:cat>
            <c:multiLvlStrRef>
              <c:f>'Tax Cred Summary'!$B$16:$E$17</c:f>
              <c:multiLvlStrCache>
                <c:ptCount val="4"/>
                <c:lvl>
                  <c:pt idx="0">
                    <c:v>2030</c:v>
                  </c:pt>
                  <c:pt idx="1">
                    <c:v>2030 Lower</c:v>
                  </c:pt>
                  <c:pt idx="2">
                    <c:v>2030 Central</c:v>
                  </c:pt>
                  <c:pt idx="3">
                    <c:v>2030 Higher</c:v>
                  </c:pt>
                </c:lvl>
                <c:lvl>
                  <c:pt idx="0">
                    <c:v>CBO/JCT</c:v>
                  </c:pt>
                  <c:pt idx="1">
                    <c:v>US-REGEN</c:v>
                  </c:pt>
                </c:lvl>
              </c:multiLvlStrCache>
            </c:multiLvlStrRef>
          </c:cat>
          <c:val>
            <c:numRef>
              <c:f>'Tax Cred Summary'!$B$18:$E$18</c:f>
              <c:numCache>
                <c:formatCode>0.0</c:formatCode>
                <c:ptCount val="4"/>
                <c:pt idx="0">
                  <c:v>14.045999999999999</c:v>
                </c:pt>
                <c:pt idx="1">
                  <c:v>4.1231741648975673</c:v>
                </c:pt>
                <c:pt idx="2">
                  <c:v>15.231128444957427</c:v>
                </c:pt>
                <c:pt idx="3">
                  <c:v>36.55470826789783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09-4590-A8A5-7CCFDC8DB305}"/>
            </c:ext>
          </c:extLst>
        </c:ser>
        <c:ser>
          <c:idx val="2"/>
          <c:order val="2"/>
          <c:tx>
            <c:v>45Q</c:v>
          </c:tx>
          <c:spPr>
            <a:solidFill>
              <a:srgbClr val="CA7378"/>
            </a:solidFill>
            <a:ln>
              <a:noFill/>
            </a:ln>
            <a:effectLst/>
          </c:spPr>
          <c:invertIfNegative val="0"/>
          <c:cat>
            <c:multiLvlStrRef>
              <c:f>'Tax Cred Summary'!$B$16:$E$17</c:f>
              <c:multiLvlStrCache>
                <c:ptCount val="4"/>
                <c:lvl>
                  <c:pt idx="0">
                    <c:v>2030</c:v>
                  </c:pt>
                  <c:pt idx="1">
                    <c:v>2030 Lower</c:v>
                  </c:pt>
                  <c:pt idx="2">
                    <c:v>2030 Central</c:v>
                  </c:pt>
                  <c:pt idx="3">
                    <c:v>2030 Higher</c:v>
                  </c:pt>
                </c:lvl>
                <c:lvl>
                  <c:pt idx="0">
                    <c:v>CBO/JCT</c:v>
                  </c:pt>
                  <c:pt idx="1">
                    <c:v>US-REGEN</c:v>
                  </c:pt>
                </c:lvl>
              </c:multiLvlStrCache>
            </c:multiLvlStrRef>
          </c:cat>
          <c:val>
            <c:numRef>
              <c:f>'Tax Cred Summary'!$B$20:$E$20</c:f>
              <c:numCache>
                <c:formatCode>0.0</c:formatCode>
                <c:ptCount val="4"/>
                <c:pt idx="0">
                  <c:v>0.17799999999999999</c:v>
                </c:pt>
                <c:pt idx="1">
                  <c:v>0</c:v>
                </c:pt>
                <c:pt idx="2">
                  <c:v>17.169635701588373</c:v>
                </c:pt>
                <c:pt idx="3">
                  <c:v>23.862101230433304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09-4590-A8A5-7CCFDC8DB305}"/>
            </c:ext>
          </c:extLst>
        </c:ser>
        <c:ser>
          <c:idx val="6"/>
          <c:order val="3"/>
          <c:tx>
            <c:v>45V</c:v>
          </c:tx>
          <c:spPr>
            <a:solidFill>
              <a:srgbClr val="9B3B40"/>
            </a:solidFill>
            <a:ln>
              <a:noFill/>
            </a:ln>
            <a:effectLst/>
          </c:spPr>
          <c:invertIfNegative val="0"/>
          <c:cat>
            <c:multiLvlStrRef>
              <c:f>'Tax Cred Summary'!$B$16:$E$17</c:f>
              <c:multiLvlStrCache>
                <c:ptCount val="4"/>
                <c:lvl>
                  <c:pt idx="0">
                    <c:v>2030</c:v>
                  </c:pt>
                  <c:pt idx="1">
                    <c:v>2030 Lower</c:v>
                  </c:pt>
                  <c:pt idx="2">
                    <c:v>2030 Central</c:v>
                  </c:pt>
                  <c:pt idx="3">
                    <c:v>2030 Higher</c:v>
                  </c:pt>
                </c:lvl>
                <c:lvl>
                  <c:pt idx="0">
                    <c:v>CBO/JCT</c:v>
                  </c:pt>
                  <c:pt idx="1">
                    <c:v>US-REGEN</c:v>
                  </c:pt>
                </c:lvl>
              </c:multiLvlStrCache>
            </c:multiLvlStrRef>
          </c:cat>
          <c:val>
            <c:numRef>
              <c:f>'Tax Cred Summary'!$B$21:$E$21</c:f>
              <c:numCache>
                <c:formatCode>0.0</c:formatCode>
                <c:ptCount val="4"/>
                <c:pt idx="0">
                  <c:v>1.581</c:v>
                </c:pt>
                <c:pt idx="1">
                  <c:v>0</c:v>
                </c:pt>
                <c:pt idx="2">
                  <c:v>0</c:v>
                </c:pt>
                <c:pt idx="3">
                  <c:v>12.000283017239186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09-4590-A8A5-7CCFDC8DB305}"/>
            </c:ext>
          </c:extLst>
        </c:ser>
        <c:ser>
          <c:idx val="3"/>
          <c:order val="4"/>
          <c:tx>
            <c:v>Transport</c:v>
          </c:tx>
          <c:spPr>
            <a:solidFill>
              <a:srgbClr val="D9D9D9"/>
            </a:solidFill>
            <a:ln>
              <a:noFill/>
            </a:ln>
            <a:effectLst/>
          </c:spPr>
          <c:invertIfNegative val="0"/>
          <c:cat>
            <c:multiLvlStrRef>
              <c:f>'Tax Cred Summary'!$B$16:$E$17</c:f>
              <c:multiLvlStrCache>
                <c:ptCount val="4"/>
                <c:lvl>
                  <c:pt idx="0">
                    <c:v>2030</c:v>
                  </c:pt>
                  <c:pt idx="1">
                    <c:v>2030 Lower</c:v>
                  </c:pt>
                  <c:pt idx="2">
                    <c:v>2030 Central</c:v>
                  </c:pt>
                  <c:pt idx="3">
                    <c:v>2030 Higher</c:v>
                  </c:pt>
                </c:lvl>
                <c:lvl>
                  <c:pt idx="0">
                    <c:v>CBO/JCT</c:v>
                  </c:pt>
                  <c:pt idx="1">
                    <c:v>US-REGEN</c:v>
                  </c:pt>
                </c:lvl>
              </c:multiLvlStrCache>
            </c:multiLvlStrRef>
          </c:cat>
          <c:val>
            <c:numRef>
              <c:f>'Tax Cred Summary'!$B$22:$E$22</c:f>
              <c:numCache>
                <c:formatCode>0.0</c:formatCode>
                <c:ptCount val="4"/>
                <c:pt idx="0">
                  <c:v>2.3640000000000003</c:v>
                </c:pt>
                <c:pt idx="1">
                  <c:v>5.5113703636097497</c:v>
                </c:pt>
                <c:pt idx="2">
                  <c:v>73.343620992652831</c:v>
                </c:pt>
                <c:pt idx="3">
                  <c:v>75.746013202431442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09-4590-A8A5-7CCFDC8DB305}"/>
            </c:ext>
          </c:extLst>
        </c:ser>
        <c:ser>
          <c:idx val="4"/>
          <c:order val="5"/>
          <c:tx>
            <c:v>Other Tax Credits</c:v>
          </c:tx>
          <c:spPr>
            <a:solidFill>
              <a:srgbClr val="FFE699"/>
            </a:solidFill>
            <a:ln>
              <a:noFill/>
            </a:ln>
            <a:effectLst/>
          </c:spPr>
          <c:invertIfNegative val="0"/>
          <c:cat>
            <c:multiLvlStrRef>
              <c:f>'Tax Cred Summary'!$B$16:$E$17</c:f>
              <c:multiLvlStrCache>
                <c:ptCount val="4"/>
                <c:lvl>
                  <c:pt idx="0">
                    <c:v>2030</c:v>
                  </c:pt>
                  <c:pt idx="1">
                    <c:v>2030 Lower</c:v>
                  </c:pt>
                  <c:pt idx="2">
                    <c:v>2030 Central</c:v>
                  </c:pt>
                  <c:pt idx="3">
                    <c:v>2030 Higher</c:v>
                  </c:pt>
                </c:lvl>
                <c:lvl>
                  <c:pt idx="0">
                    <c:v>CBO/JCT</c:v>
                  </c:pt>
                  <c:pt idx="1">
                    <c:v>US-REGEN</c:v>
                  </c:pt>
                </c:lvl>
              </c:multiLvlStrCache>
            </c:multiLvlStrRef>
          </c:cat>
          <c:val>
            <c:numRef>
              <c:f>'Tax Cred Summary'!$B$23:$E$23</c:f>
              <c:numCache>
                <c:formatCode>0.0</c:formatCode>
                <c:ptCount val="4"/>
                <c:pt idx="0">
                  <c:v>7.405000000000002</c:v>
                </c:pt>
                <c:pt idx="1">
                  <c:v>10.457471971977478</c:v>
                </c:pt>
                <c:pt idx="2">
                  <c:v>10.316154783166969</c:v>
                </c:pt>
                <c:pt idx="3">
                  <c:v>10.316154783166969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109-4590-A8A5-7CCFDC8DB3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30061016"/>
        <c:axId val="630058720"/>
        <c:extLst/>
      </c:barChart>
      <c:catAx>
        <c:axId val="630061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630058720"/>
        <c:crosses val="autoZero"/>
        <c:auto val="1"/>
        <c:lblAlgn val="ctr"/>
        <c:lblOffset val="100"/>
        <c:noMultiLvlLbl val="0"/>
      </c:catAx>
      <c:valAx>
        <c:axId val="630058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Annual </a:t>
                </a:r>
                <a:r>
                  <a:rPr lang="en-US" sz="1400" b="1" baseline="0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Fiscal Cost (B$/yr)</a:t>
                </a:r>
                <a:endParaRPr lang="en-US" sz="1400" b="1">
                  <a:solidFill>
                    <a:sysClr val="windowText" lastClr="000000"/>
                  </a:solidFill>
                  <a:latin typeface="Roboto" panose="02000000000000000000" pitchFamily="2" charset="0"/>
                  <a:ea typeface="Roboto" panose="02000000000000000000" pitchFamily="2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630061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Roboto" panose="02000000000000000000" pitchFamily="2" charset="0"/>
              <a:ea typeface="Roboto" panose="02000000000000000000" pitchFamily="2" charset="0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239278</xdr:colOff>
      <xdr:row>18</xdr:row>
      <xdr:rowOff>110435</xdr:rowOff>
    </xdr:from>
    <xdr:to>
      <xdr:col>17</xdr:col>
      <xdr:colOff>566171</xdr:colOff>
      <xdr:row>43</xdr:row>
      <xdr:rowOff>102814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B4E7535-BE3C-4CAA-8DF1-CBB46EC993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1288408</xdr:colOff>
      <xdr:row>20</xdr:row>
      <xdr:rowOff>55216</xdr:rowOff>
    </xdr:from>
    <xdr:to>
      <xdr:col>20</xdr:col>
      <xdr:colOff>492548</xdr:colOff>
      <xdr:row>45</xdr:row>
      <xdr:rowOff>47595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5CFDB3F-0904-4D90-956D-826AE774D6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529876</xdr:colOff>
      <xdr:row>1</xdr:row>
      <xdr:rowOff>130521</xdr:rowOff>
    </xdr:from>
    <xdr:to>
      <xdr:col>27</xdr:col>
      <xdr:colOff>544819</xdr:colOff>
      <xdr:row>26</xdr:row>
      <xdr:rowOff>38740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BA1CF0B-88D7-F8F5-A2EE-0585F5B767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529876</xdr:colOff>
      <xdr:row>1</xdr:row>
      <xdr:rowOff>130521</xdr:rowOff>
    </xdr:from>
    <xdr:to>
      <xdr:col>27</xdr:col>
      <xdr:colOff>544819</xdr:colOff>
      <xdr:row>26</xdr:row>
      <xdr:rowOff>38740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584F944-164D-45FD-9AF2-83289038DB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139804</xdr:colOff>
      <xdr:row>2</xdr:row>
      <xdr:rowOff>48879</xdr:rowOff>
    </xdr:from>
    <xdr:to>
      <xdr:col>23</xdr:col>
      <xdr:colOff>154748</xdr:colOff>
      <xdr:row>26</xdr:row>
      <xdr:rowOff>138526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602AC6B-673D-44BD-817D-464CAF052D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76304</xdr:colOff>
      <xdr:row>1</xdr:row>
      <xdr:rowOff>148663</xdr:rowOff>
    </xdr:from>
    <xdr:to>
      <xdr:col>22</xdr:col>
      <xdr:colOff>91248</xdr:colOff>
      <xdr:row>26</xdr:row>
      <xdr:rowOff>56882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4D7C92-B755-4FE4-B55E-5AB5C4FC3C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522939</xdr:colOff>
      <xdr:row>3</xdr:row>
      <xdr:rowOff>52296</xdr:rowOff>
    </xdr:from>
    <xdr:to>
      <xdr:col>25</xdr:col>
      <xdr:colOff>448235</xdr:colOff>
      <xdr:row>28</xdr:row>
      <xdr:rowOff>37353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9CC297F-BD73-482F-BD9A-3756D0B801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</xdr:colOff>
      <xdr:row>36</xdr:row>
      <xdr:rowOff>104588</xdr:rowOff>
    </xdr:from>
    <xdr:to>
      <xdr:col>23</xdr:col>
      <xdr:colOff>291353</xdr:colOff>
      <xdr:row>58</xdr:row>
      <xdr:rowOff>171821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8E6CE3C-74B3-49E3-A1FF-8700A03C23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PEA%20IRA%20-%20Emissions%20Resul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orical"/>
      <sheetName val="Projections"/>
    </sheetNames>
    <sheetDataSet>
      <sheetData sheetId="0"/>
      <sheetData sheetId="1">
        <row r="3">
          <cell r="S3">
            <v>9.4068455413715828</v>
          </cell>
          <cell r="T3">
            <v>1.7560505154501371</v>
          </cell>
        </row>
        <row r="4">
          <cell r="D4">
            <v>1104.0696520545098</v>
          </cell>
          <cell r="E4">
            <v>1090.0754222843252</v>
          </cell>
          <cell r="F4">
            <v>1085.971266176987</v>
          </cell>
          <cell r="G4">
            <v>1018.7074405909427</v>
          </cell>
          <cell r="H4">
            <v>935.54595281642639</v>
          </cell>
        </row>
        <row r="5">
          <cell r="S5">
            <v>5.8873151550855187</v>
          </cell>
          <cell r="T5">
            <v>0.72806662973430325</v>
          </cell>
        </row>
        <row r="6">
          <cell r="S6">
            <v>13.568782558383498</v>
          </cell>
          <cell r="T6">
            <v>2.6200142980493539</v>
          </cell>
        </row>
        <row r="11">
          <cell r="D11">
            <v>872.93213693852499</v>
          </cell>
          <cell r="E11">
            <v>758.00016817707854</v>
          </cell>
          <cell r="F11">
            <v>693.20195865922869</v>
          </cell>
          <cell r="G11">
            <v>519.66204504516452</v>
          </cell>
          <cell r="H11">
            <v>498.72572373816269</v>
          </cell>
        </row>
        <row r="13">
          <cell r="S13">
            <v>0.72820616905525093</v>
          </cell>
          <cell r="T13">
            <v>1.7561684216811027</v>
          </cell>
          <cell r="U13">
            <v>2.6201729205765698</v>
          </cell>
        </row>
        <row r="14">
          <cell r="S14">
            <v>2.4352073997555088</v>
          </cell>
          <cell r="T14">
            <v>4.5106488358266619</v>
          </cell>
          <cell r="U14">
            <v>6.5890103309217434</v>
          </cell>
        </row>
        <row r="15">
          <cell r="S15">
            <v>2.8247046523629944</v>
          </cell>
          <cell r="T15">
            <v>5.0884829110779357</v>
          </cell>
          <cell r="U15">
            <v>7.4080377386562555</v>
          </cell>
        </row>
        <row r="16">
          <cell r="S16">
            <v>3.2749297833890121</v>
          </cell>
          <cell r="T16">
            <v>5.7435259666693854</v>
          </cell>
          <cell r="U16">
            <v>8.3326011222020195</v>
          </cell>
        </row>
        <row r="17">
          <cell r="S17">
            <v>3.7951637685554269</v>
          </cell>
          <cell r="T17">
            <v>6.4864071510336432</v>
          </cell>
          <cell r="U17">
            <v>9.3767728194269075</v>
          </cell>
        </row>
        <row r="35">
          <cell r="D35">
            <v>1186.9198229848939</v>
          </cell>
          <cell r="E35">
            <v>1052.9134848456595</v>
          </cell>
          <cell r="F35">
            <v>944.90826339735293</v>
          </cell>
          <cell r="G35">
            <v>662.12804292658973</v>
          </cell>
          <cell r="H35">
            <v>550.07827150410731</v>
          </cell>
        </row>
        <row r="42">
          <cell r="D42">
            <v>593.51709134056068</v>
          </cell>
          <cell r="E42">
            <v>449.27479239552167</v>
          </cell>
          <cell r="F42">
            <v>338.85026221628425</v>
          </cell>
          <cell r="G42">
            <v>189.68985287047818</v>
          </cell>
          <cell r="H42">
            <v>213.51260453951332</v>
          </cell>
        </row>
        <row r="49">
          <cell r="D49">
            <v>1135.3856977092946</v>
          </cell>
          <cell r="E49">
            <v>1127.0161163765404</v>
          </cell>
          <cell r="F49">
            <v>1163.3721849235699</v>
          </cell>
          <cell r="G49">
            <v>1098.9459807645126</v>
          </cell>
          <cell r="H49">
            <v>1048.628544045639</v>
          </cell>
        </row>
        <row r="50">
          <cell r="D50">
            <v>1043.1374411507643</v>
          </cell>
          <cell r="E50">
            <v>1003.7553353585006</v>
          </cell>
          <cell r="F50">
            <v>932.10187683266031</v>
          </cell>
          <cell r="G50">
            <v>831.58410641316505</v>
          </cell>
          <cell r="H50">
            <v>739.24380437445609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1.xml"/><Relationship Id="rId1" Type="http://schemas.openxmlformats.org/officeDocument/2006/relationships/vmlDrawing" Target="../drawings/vmlDrawing11.v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2.xml"/><Relationship Id="rId1" Type="http://schemas.openxmlformats.org/officeDocument/2006/relationships/vmlDrawing" Target="../drawings/vmlDrawing12.v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3.xml"/><Relationship Id="rId1" Type="http://schemas.openxmlformats.org/officeDocument/2006/relationships/vmlDrawing" Target="../drawings/vmlDrawing13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79998168889431442"/>
  </sheetPr>
  <dimension ref="A1:Z54"/>
  <sheetViews>
    <sheetView topLeftCell="A3" zoomScale="69" zoomScaleNormal="70" workbookViewId="0">
      <selection activeCell="Z51" sqref="Z51"/>
    </sheetView>
  </sheetViews>
  <sheetFormatPr defaultRowHeight="14.5" x14ac:dyDescent="0.35"/>
  <cols>
    <col min="1" max="1" width="14.6328125" customWidth="1"/>
    <col min="2" max="2" width="11.81640625" customWidth="1"/>
    <col min="3" max="6" width="11.36328125" bestFit="1" customWidth="1"/>
    <col min="7" max="8" width="11.36328125" customWidth="1"/>
    <col min="10" max="10" width="24.7265625" customWidth="1"/>
    <col min="11" max="15" width="9.36328125" bestFit="1" customWidth="1"/>
    <col min="16" max="17" width="9.36328125" customWidth="1"/>
    <col min="19" max="19" width="18.26953125" customWidth="1"/>
  </cols>
  <sheetData>
    <row r="1" spans="1:26" x14ac:dyDescent="0.35">
      <c r="A1" s="10" t="s">
        <v>34</v>
      </c>
      <c r="J1" s="10" t="s">
        <v>33</v>
      </c>
    </row>
    <row r="3" spans="1:26" x14ac:dyDescent="0.35">
      <c r="A3" t="s">
        <v>32</v>
      </c>
      <c r="J3" t="s">
        <v>15</v>
      </c>
      <c r="S3" t="s">
        <v>92</v>
      </c>
    </row>
    <row r="4" spans="1:26" x14ac:dyDescent="0.35">
      <c r="B4">
        <v>2020</v>
      </c>
      <c r="C4">
        <v>2025</v>
      </c>
      <c r="D4">
        <v>2030</v>
      </c>
      <c r="E4">
        <v>2035</v>
      </c>
      <c r="F4">
        <v>2040</v>
      </c>
      <c r="G4">
        <v>2045</v>
      </c>
      <c r="H4">
        <v>2050</v>
      </c>
      <c r="J4" s="8"/>
      <c r="K4" s="8">
        <v>2020</v>
      </c>
      <c r="L4" s="8">
        <v>2025</v>
      </c>
      <c r="M4" s="8">
        <v>2030</v>
      </c>
      <c r="N4" s="8">
        <v>2035</v>
      </c>
      <c r="O4" s="8">
        <v>2040</v>
      </c>
      <c r="P4" s="8">
        <v>2045</v>
      </c>
      <c r="Q4" s="8">
        <v>2050</v>
      </c>
      <c r="T4">
        <v>2020</v>
      </c>
      <c r="U4">
        <v>2025</v>
      </c>
      <c r="V4">
        <v>2030</v>
      </c>
      <c r="W4">
        <v>2035</v>
      </c>
      <c r="X4">
        <v>2040</v>
      </c>
      <c r="Y4">
        <v>2045</v>
      </c>
      <c r="Z4">
        <v>2050</v>
      </c>
    </row>
    <row r="5" spans="1:26" x14ac:dyDescent="0.35">
      <c r="A5" t="s">
        <v>0</v>
      </c>
      <c r="B5">
        <v>95.8</v>
      </c>
      <c r="C5">
        <v>104.2</v>
      </c>
      <c r="D5">
        <v>112.5</v>
      </c>
      <c r="E5">
        <v>115.5</v>
      </c>
      <c r="F5">
        <v>117.1</v>
      </c>
      <c r="G5">
        <v>116.7</v>
      </c>
      <c r="H5">
        <v>116.7</v>
      </c>
      <c r="J5" s="8" t="s">
        <v>48</v>
      </c>
      <c r="K5" s="9">
        <f>SUM(B6,B25)*$B$27</f>
        <v>422.00911978819067</v>
      </c>
      <c r="L5" s="9">
        <f t="shared" ref="L5:O5" si="0">SUM(C6,C25)*$B$27</f>
        <v>499.90244673753119</v>
      </c>
      <c r="M5" s="9">
        <f t="shared" si="0"/>
        <v>516.76491995401921</v>
      </c>
      <c r="N5" s="9">
        <f t="shared" si="0"/>
        <v>527.36800240975333</v>
      </c>
      <c r="O5" s="9">
        <f t="shared" si="0"/>
        <v>534.1317722028972</v>
      </c>
      <c r="P5" s="9">
        <f t="shared" ref="P5" si="1">SUM(G6,G25)*$B$27</f>
        <v>539.97649511961652</v>
      </c>
      <c r="Q5" s="9">
        <f t="shared" ref="Q5" si="2">SUM(H6,H25)*$B$27</f>
        <v>541.81467265796255</v>
      </c>
      <c r="R5" s="1"/>
      <c r="S5" s="1" t="s">
        <v>48</v>
      </c>
      <c r="T5" s="7">
        <f>K5-'Economy - No IRA'!K5</f>
        <v>8.5482359364194735</v>
      </c>
      <c r="U5" s="7">
        <f>L5-'Economy - No IRA'!L5</f>
        <v>30.477195876652104</v>
      </c>
      <c r="V5" s="7">
        <f>M5-'Economy - No IRA'!M5</f>
        <v>41.067800376602179</v>
      </c>
      <c r="W5" s="7">
        <f>N5-'Economy - No IRA'!N5</f>
        <v>45.399014115798309</v>
      </c>
      <c r="X5" s="7">
        <f>O5-'Economy - No IRA'!O5</f>
        <v>28.402050502058046</v>
      </c>
      <c r="Y5" s="7">
        <f>P5-'Economy - No IRA'!P5</f>
        <v>20.135068806567006</v>
      </c>
      <c r="Z5" s="7">
        <f>Q5-'Economy - No IRA'!Q5</f>
        <v>21.370182045245883</v>
      </c>
    </row>
    <row r="6" spans="1:26" x14ac:dyDescent="0.35">
      <c r="A6" t="s">
        <v>1</v>
      </c>
      <c r="B6">
        <v>342.8</v>
      </c>
      <c r="C6">
        <v>400</v>
      </c>
      <c r="D6">
        <v>397.4</v>
      </c>
      <c r="E6">
        <v>400.9</v>
      </c>
      <c r="F6">
        <v>413.9</v>
      </c>
      <c r="G6">
        <v>396.7</v>
      </c>
      <c r="H6">
        <v>391.3</v>
      </c>
      <c r="J6" s="8" t="s">
        <v>49</v>
      </c>
      <c r="K6" s="9">
        <f>B21*$B$27</f>
        <v>115.54711981621843</v>
      </c>
      <c r="L6" s="9">
        <f t="shared" ref="L6:O6" si="3">C21*$B$27</f>
        <v>125.6786000506259</v>
      </c>
      <c r="M6" s="9">
        <f t="shared" si="3"/>
        <v>135.68946742509993</v>
      </c>
      <c r="N6" s="9">
        <f t="shared" si="3"/>
        <v>139.3078532231026</v>
      </c>
      <c r="O6" s="9">
        <f t="shared" si="3"/>
        <v>141.23765898203735</v>
      </c>
      <c r="P6" s="9">
        <f t="shared" ref="P6" si="4">G21*$B$27</f>
        <v>140.75520754230368</v>
      </c>
      <c r="Q6" s="9">
        <f t="shared" ref="Q6" si="5">H21*$B$27</f>
        <v>140.75520754230368</v>
      </c>
      <c r="R6" s="1"/>
      <c r="S6" s="1" t="s">
        <v>49</v>
      </c>
      <c r="T6" s="7">
        <f>K6-'Economy - No IRA'!K6</f>
        <v>0</v>
      </c>
      <c r="U6" s="7">
        <f>L6-'Economy - No IRA'!L6</f>
        <v>-3.0153214983355667</v>
      </c>
      <c r="V6" s="7">
        <f>M6-'Economy - No IRA'!M6</f>
        <v>-6.8749330162050626</v>
      </c>
      <c r="W6" s="7">
        <f>N6-'Economy - No IRA'!N6</f>
        <v>-8.3222873354061448</v>
      </c>
      <c r="X6" s="7">
        <f>O6-'Economy - No IRA'!O6</f>
        <v>-9.7696416546071987</v>
      </c>
      <c r="Y6" s="7">
        <f>P6-'Economy - No IRA'!P6</f>
        <v>-11.940673133408779</v>
      </c>
      <c r="Z6" s="7">
        <f>Q6-'Economy - No IRA'!Q6</f>
        <v>-13.267414592676431</v>
      </c>
    </row>
    <row r="7" spans="1:26" x14ac:dyDescent="0.35">
      <c r="A7" t="s">
        <v>2</v>
      </c>
      <c r="B7">
        <v>696.7</v>
      </c>
      <c r="C7">
        <v>672.7</v>
      </c>
      <c r="D7">
        <v>646.9</v>
      </c>
      <c r="E7">
        <v>609.70000000000005</v>
      </c>
      <c r="F7">
        <v>560.70000000000005</v>
      </c>
      <c r="G7">
        <v>524.9</v>
      </c>
      <c r="H7">
        <v>485</v>
      </c>
      <c r="J7" s="8" t="s">
        <v>50</v>
      </c>
      <c r="K7" s="9">
        <f>B23*$B$27</f>
        <v>724.76267533993393</v>
      </c>
      <c r="L7" s="9">
        <f t="shared" ref="L7:O7" si="6">C23*$B$27</f>
        <v>685.68410872150503</v>
      </c>
      <c r="M7" s="9">
        <f t="shared" si="6"/>
        <v>644.55512348420802</v>
      </c>
      <c r="N7" s="9">
        <f t="shared" si="6"/>
        <v>596.06875379097244</v>
      </c>
      <c r="O7" s="9">
        <f t="shared" si="6"/>
        <v>535.03864666466075</v>
      </c>
      <c r="P7" s="9">
        <f t="shared" ref="P7" si="7">G23*$B$27</f>
        <v>492.34169424822926</v>
      </c>
      <c r="Q7" s="9">
        <f t="shared" ref="Q7" si="8">H23*$B$27</f>
        <v>444.21716313479385</v>
      </c>
      <c r="R7" s="1"/>
      <c r="S7" s="1" t="s">
        <v>50</v>
      </c>
      <c r="T7" s="7">
        <f>K7-'Economy - No IRA'!K7</f>
        <v>0</v>
      </c>
      <c r="U7" s="7">
        <f>L7-'Economy - No IRA'!L7</f>
        <v>-2.2916443387349545</v>
      </c>
      <c r="V7" s="7">
        <f>M7-'Economy - No IRA'!M7</f>
        <v>-8.3222873354061448</v>
      </c>
      <c r="W7" s="7">
        <f>N7-'Economy - No IRA'!N7</f>
        <v>-11.820060273475292</v>
      </c>
      <c r="X7" s="7">
        <f>O7-'Economy - No IRA'!O7</f>
        <v>-13.38802745260989</v>
      </c>
      <c r="Y7" s="7">
        <f>P7-'Economy - No IRA'!P7</f>
        <v>-12.302511713209071</v>
      </c>
      <c r="Z7" s="7">
        <f>Q7-'Economy - No IRA'!Q7</f>
        <v>-9.4078030748069637</v>
      </c>
    </row>
    <row r="8" spans="1:26" x14ac:dyDescent="0.35">
      <c r="A8" t="s">
        <v>3</v>
      </c>
      <c r="B8">
        <v>-0.4</v>
      </c>
      <c r="C8">
        <v>-0.2</v>
      </c>
      <c r="D8">
        <v>0.5</v>
      </c>
      <c r="E8">
        <v>0.6</v>
      </c>
      <c r="F8">
        <v>0.9</v>
      </c>
      <c r="G8">
        <v>0.8</v>
      </c>
      <c r="H8">
        <v>1.7</v>
      </c>
      <c r="J8" s="8" t="s">
        <v>19</v>
      </c>
      <c r="K8" s="9">
        <f>SUM(B10:B11,B16)*$B$27</f>
        <v>267.39871047239694</v>
      </c>
      <c r="L8" s="9">
        <f>SUM(C10:C11,C16)*$B$27</f>
        <v>271.86138628993359</v>
      </c>
      <c r="M8" s="9">
        <f>SUM(D10:D11,D16)*$B$27</f>
        <v>265.34829185352879</v>
      </c>
      <c r="N8" s="9">
        <f>SUM(E10:E11,E16)*$B$27</f>
        <v>272.1026120098004</v>
      </c>
      <c r="O8" s="9">
        <f>SUM(F10:F11,F16)*$B$27</f>
        <v>272.70567630946749</v>
      </c>
      <c r="P8" s="9">
        <f t="shared" ref="P8:Q8" si="9">SUM(G10:G11,G16)*$B$27</f>
        <v>273.91180490880174</v>
      </c>
      <c r="Q8" s="9">
        <f t="shared" si="9"/>
        <v>270.77587055053277</v>
      </c>
      <c r="R8" s="1"/>
      <c r="S8" s="1" t="s">
        <v>19</v>
      </c>
      <c r="T8" s="7">
        <f>K8-'Economy - No IRA'!K8</f>
        <v>0</v>
      </c>
      <c r="U8" s="7">
        <f>L8-'Economy - No IRA'!L8</f>
        <v>-9.5284159347403374</v>
      </c>
      <c r="V8" s="7">
        <f>M8-'Economy - No IRA'!M8</f>
        <v>-11.699447413541918</v>
      </c>
      <c r="W8" s="7">
        <f>N8-'Economy - No IRA'!N8</f>
        <v>-2.8947086384021645</v>
      </c>
      <c r="X8" s="7">
        <f>O8-'Economy - No IRA'!O8</f>
        <v>-2.4122571986684989</v>
      </c>
      <c r="Y8" s="7">
        <f>P8-'Economy - No IRA'!P8</f>
        <v>-2.412257198668442</v>
      </c>
      <c r="Z8" s="7">
        <f>Q8-'Economy - No IRA'!Q8</f>
        <v>-3.8596115178694959</v>
      </c>
    </row>
    <row r="9" spans="1:26" x14ac:dyDescent="0.35">
      <c r="A9" t="s">
        <v>4</v>
      </c>
      <c r="B9">
        <v>696.7</v>
      </c>
      <c r="C9">
        <v>672.7</v>
      </c>
      <c r="D9">
        <v>646.9</v>
      </c>
      <c r="E9">
        <v>609.70000000000005</v>
      </c>
      <c r="F9">
        <v>560.70000000000005</v>
      </c>
      <c r="G9">
        <v>524.9</v>
      </c>
      <c r="H9">
        <v>485</v>
      </c>
      <c r="J9" s="8" t="s">
        <v>20</v>
      </c>
      <c r="K9" s="9">
        <f>B12*$B$27</f>
        <v>291.0388310193477</v>
      </c>
      <c r="L9" s="9">
        <f>C12*$B$27</f>
        <v>301.29092411368856</v>
      </c>
      <c r="M9" s="9">
        <f>D12*$B$27</f>
        <v>283.44022084354208</v>
      </c>
      <c r="N9" s="9">
        <f>E12*$B$27</f>
        <v>286.21431662201081</v>
      </c>
      <c r="O9" s="9">
        <f>F12*$B$27</f>
        <v>293.33047535808271</v>
      </c>
      <c r="P9" s="9">
        <f t="shared" ref="P9:Q9" si="10">G12*$B$27</f>
        <v>293.20986249814928</v>
      </c>
      <c r="Q9" s="9">
        <f t="shared" si="10"/>
        <v>293.33047535808271</v>
      </c>
      <c r="R9" s="1"/>
      <c r="S9" s="1" t="s">
        <v>20</v>
      </c>
      <c r="T9" s="7">
        <f>K9-'Economy - No IRA'!K9</f>
        <v>0</v>
      </c>
      <c r="U9" s="7">
        <f>L9-'Economy - No IRA'!L9</f>
        <v>-0.48245143973366567</v>
      </c>
      <c r="V9" s="7">
        <f>M9-'Economy - No IRA'!M9</f>
        <v>-0.84429001953395755</v>
      </c>
      <c r="W9" s="7">
        <f>N9-'Economy - No IRA'!N9</f>
        <v>-2.8947086384021077</v>
      </c>
      <c r="X9" s="7">
        <f>O9-'Economy - No IRA'!O9</f>
        <v>-5.1863529771371759</v>
      </c>
      <c r="Y9" s="7">
        <f>P9-'Economy - No IRA'!P9</f>
        <v>-7.4779973158721873</v>
      </c>
      <c r="Z9" s="7">
        <f>Q9-'Economy - No IRA'!Q9</f>
        <v>-13.026188872809598</v>
      </c>
    </row>
    <row r="10" spans="1:26" x14ac:dyDescent="0.35">
      <c r="A10" t="s">
        <v>5</v>
      </c>
      <c r="B10">
        <v>115.7</v>
      </c>
      <c r="C10">
        <v>110.1</v>
      </c>
      <c r="D10">
        <v>104.9</v>
      </c>
      <c r="E10">
        <v>119.3</v>
      </c>
      <c r="F10">
        <v>121.5</v>
      </c>
      <c r="G10">
        <v>123.4</v>
      </c>
      <c r="H10">
        <v>124</v>
      </c>
      <c r="J10" s="8" t="s">
        <v>21</v>
      </c>
      <c r="K10" s="9">
        <f>SUM(B13:B15)*$B$27</f>
        <v>1802.0767402652605</v>
      </c>
      <c r="L10" s="9">
        <f>SUM(C13:C15)*$B$27</f>
        <v>1987.8205445627307</v>
      </c>
      <c r="M10" s="9">
        <f>SUM(D13:D15)*$B$27</f>
        <v>2058.8615190635164</v>
      </c>
      <c r="N10" s="9">
        <f>SUM(E13:E15)*$B$27</f>
        <v>2047.0414587900411</v>
      </c>
      <c r="O10" s="9">
        <f>SUM(F13:F15)*$B$27</f>
        <v>2128.3345263851675</v>
      </c>
      <c r="P10" s="9">
        <f t="shared" ref="P10:Q10" si="11">SUM(G13:G15)*$B$27</f>
        <v>2165.4832872446618</v>
      </c>
      <c r="Q10" s="9">
        <f t="shared" si="11"/>
        <v>2220.8445899541025</v>
      </c>
      <c r="R10" s="1"/>
      <c r="S10" s="1" t="s">
        <v>21</v>
      </c>
      <c r="T10" s="7">
        <f>K10-'Economy - No IRA'!K10</f>
        <v>0</v>
      </c>
      <c r="U10" s="7">
        <f>L10-'Economy - No IRA'!L10</f>
        <v>8.5635130552730061</v>
      </c>
      <c r="V10" s="7">
        <f>M10-'Economy - No IRA'!M10</f>
        <v>-6.5130944364050265</v>
      </c>
      <c r="W10" s="7">
        <f>N10-'Economy - No IRA'!N10</f>
        <v>-13.26741459267646</v>
      </c>
      <c r="X10" s="7">
        <f>O10-'Economy - No IRA'!O10</f>
        <v>-0.96490287946744502</v>
      </c>
      <c r="Y10" s="7">
        <f>P10-'Economy - No IRA'!P10</f>
        <v>-0.36183857979995082</v>
      </c>
      <c r="Z10" s="7">
        <f>Q10-'Economy - No IRA'!Q10</f>
        <v>3.6183857980026914</v>
      </c>
    </row>
    <row r="11" spans="1:26" x14ac:dyDescent="0.35">
      <c r="A11" t="s">
        <v>6</v>
      </c>
      <c r="B11">
        <v>106</v>
      </c>
      <c r="C11">
        <v>108.2</v>
      </c>
      <c r="D11">
        <v>107.8</v>
      </c>
      <c r="E11">
        <v>106.3</v>
      </c>
      <c r="F11">
        <v>104.6</v>
      </c>
      <c r="G11">
        <v>103.7</v>
      </c>
      <c r="H11">
        <v>100.5</v>
      </c>
      <c r="J11" s="8" t="s">
        <v>55</v>
      </c>
      <c r="K11" s="9">
        <f>SUM(K5:K10)</f>
        <v>3622.8331967013482</v>
      </c>
      <c r="L11" s="9">
        <f>SUM(L5:L10)</f>
        <v>3872.238010476015</v>
      </c>
      <c r="M11" s="9">
        <f>SUM(M5:M10)</f>
        <v>3904.6595426239146</v>
      </c>
      <c r="N11" s="9">
        <f>SUM(N5:N10)</f>
        <v>3868.1029968456805</v>
      </c>
      <c r="O11" s="9">
        <f>SUM(O5:O10)</f>
        <v>3904.7787559023132</v>
      </c>
      <c r="P11" s="9">
        <f t="shared" ref="P11:Q11" si="12">SUM(P5:P10)</f>
        <v>3905.6783515617622</v>
      </c>
      <c r="Q11" s="9">
        <f t="shared" si="12"/>
        <v>3911.7379791977778</v>
      </c>
      <c r="R11" s="1"/>
      <c r="S11" s="1" t="s">
        <v>55</v>
      </c>
      <c r="T11" s="7">
        <f>K11-'Economy - No IRA'!K11</f>
        <v>8.5482359364195872</v>
      </c>
      <c r="U11" s="7">
        <f>L11-'Economy - No IRA'!L11</f>
        <v>23.722875720380671</v>
      </c>
      <c r="V11" s="7">
        <f>M11-'Economy - No IRA'!M11</f>
        <v>6.8137481555104387</v>
      </c>
      <c r="W11" s="7">
        <f>N11-'Economy - No IRA'!N11</f>
        <v>6.1998346374361972</v>
      </c>
      <c r="X11" s="7">
        <f>O11-'Economy - No IRA'!O11</f>
        <v>-3.3191316604320491</v>
      </c>
      <c r="Y11" s="7">
        <f>P11-'Economy - No IRA'!P11</f>
        <v>-14.360209134391425</v>
      </c>
      <c r="Z11" s="7">
        <f>Q11-'Economy - No IRA'!Q11</f>
        <v>-14.57245021491417</v>
      </c>
    </row>
    <row r="12" spans="1:26" x14ac:dyDescent="0.35">
      <c r="A12" t="s">
        <v>7</v>
      </c>
      <c r="B12">
        <v>241.3</v>
      </c>
      <c r="C12">
        <v>249.8</v>
      </c>
      <c r="D12">
        <v>235</v>
      </c>
      <c r="E12">
        <v>237.3</v>
      </c>
      <c r="F12">
        <v>243.2</v>
      </c>
      <c r="G12">
        <v>243.1</v>
      </c>
      <c r="H12">
        <v>243.2</v>
      </c>
      <c r="J12" s="8" t="s">
        <v>30</v>
      </c>
      <c r="K12" s="9">
        <f>-B25*$B$27</f>
        <v>-8.5482359364194611</v>
      </c>
      <c r="L12" s="9">
        <f t="shared" ref="L12:O12" si="13">-C25*$B$27</f>
        <v>-17.451007003842491</v>
      </c>
      <c r="M12" s="9">
        <f t="shared" si="13"/>
        <v>-37.449414578599537</v>
      </c>
      <c r="N12" s="9">
        <f t="shared" si="13"/>
        <v>-43.831046936663846</v>
      </c>
      <c r="O12" s="9">
        <f t="shared" si="13"/>
        <v>-34.915144938462895</v>
      </c>
      <c r="P12" s="9">
        <f t="shared" ref="P12" si="14">-G25*$B$27</f>
        <v>-61.505279763730812</v>
      </c>
      <c r="Q12" s="9">
        <f t="shared" ref="Q12" si="15">-H25*$B$27</f>
        <v>-69.856551738481599</v>
      </c>
      <c r="S12" t="s">
        <v>30</v>
      </c>
      <c r="T12" s="7">
        <f>K12-'Economy - No IRA'!K12</f>
        <v>-8.5482359364194611</v>
      </c>
      <c r="U12" s="7">
        <f>L12-'Economy - No IRA'!L12</f>
        <v>-17.451007003842491</v>
      </c>
      <c r="V12" s="7">
        <f>M12-'Economy - No IRA'!M12</f>
        <v>-37.449414578599537</v>
      </c>
      <c r="W12" s="7">
        <f>N12-'Economy - No IRA'!N12</f>
        <v>-43.831046936663846</v>
      </c>
      <c r="X12" s="7">
        <f>O12-'Economy - No IRA'!O12</f>
        <v>-34.915144938462895</v>
      </c>
      <c r="Y12" s="7">
        <f>P12-'Economy - No IRA'!P12</f>
        <v>-61.505279763730812</v>
      </c>
      <c r="Z12" s="7">
        <f>Q12-'Economy - No IRA'!Q12</f>
        <v>-69.856551738481599</v>
      </c>
    </row>
    <row r="13" spans="1:26" x14ac:dyDescent="0.35">
      <c r="A13" t="s">
        <v>8</v>
      </c>
      <c r="B13">
        <v>1205.5</v>
      </c>
      <c r="C13">
        <v>1304</v>
      </c>
      <c r="D13">
        <v>1326.8</v>
      </c>
      <c r="E13">
        <v>1355.7</v>
      </c>
      <c r="F13">
        <v>1396.3</v>
      </c>
      <c r="G13">
        <v>1397.7</v>
      </c>
      <c r="H13">
        <v>1420.1</v>
      </c>
      <c r="J13" s="8" t="s">
        <v>31</v>
      </c>
      <c r="K13" s="9">
        <f>-SUM(B15:B16)*$B$27</f>
        <v>0</v>
      </c>
      <c r="L13" s="9">
        <f t="shared" ref="L13:O13" si="16">-SUM(C15:C16)*$B$27</f>
        <v>-19.53928330921439</v>
      </c>
      <c r="M13" s="9">
        <f t="shared" si="16"/>
        <v>-71.402813080585915</v>
      </c>
      <c r="N13" s="9">
        <f t="shared" si="16"/>
        <v>0</v>
      </c>
      <c r="O13" s="9">
        <f t="shared" si="16"/>
        <v>0</v>
      </c>
      <c r="P13" s="9">
        <f t="shared" ref="P13" si="17">-SUM(G15:G16)*$B$27</f>
        <v>0</v>
      </c>
      <c r="Q13" s="9">
        <f t="shared" ref="Q13" si="18">-SUM(H15:H16)*$B$27</f>
        <v>0</v>
      </c>
      <c r="S13" t="s">
        <v>31</v>
      </c>
      <c r="T13" s="7">
        <f>K13-'Economy - No IRA'!K13</f>
        <v>0</v>
      </c>
      <c r="U13" s="7">
        <f>L13-'Economy - No IRA'!L13</f>
        <v>-19.53928330921439</v>
      </c>
      <c r="V13" s="7">
        <f>M13-'Economy - No IRA'!M13</f>
        <v>-71.402813080585915</v>
      </c>
      <c r="W13" s="7">
        <f>N13-'Economy - No IRA'!N13</f>
        <v>0</v>
      </c>
      <c r="X13" s="7">
        <f>O13-'Economy - No IRA'!O13</f>
        <v>0</v>
      </c>
      <c r="Y13" s="7">
        <f>P13-'Economy - No IRA'!P13</f>
        <v>0</v>
      </c>
      <c r="Z13" s="7">
        <f>Q13-'Economy - No IRA'!Q13</f>
        <v>0</v>
      </c>
    </row>
    <row r="14" spans="1:26" x14ac:dyDescent="0.35">
      <c r="A14" t="s">
        <v>9</v>
      </c>
      <c r="B14">
        <v>288.60000000000002</v>
      </c>
      <c r="C14">
        <v>335</v>
      </c>
      <c r="D14">
        <v>328.3</v>
      </c>
      <c r="E14">
        <v>341.5</v>
      </c>
      <c r="F14">
        <v>368.3</v>
      </c>
      <c r="G14">
        <v>397.7</v>
      </c>
      <c r="H14">
        <v>421.2</v>
      </c>
      <c r="J14" s="8" t="s">
        <v>27</v>
      </c>
      <c r="K14" s="9">
        <f>SUM(K5:K6,K7,K8:K10,K12,K13)</f>
        <v>3614.2849607649287</v>
      </c>
      <c r="L14" s="9">
        <f>SUM(L5:L6,L7,L8:L10,L12,L13)</f>
        <v>3835.2477201629586</v>
      </c>
      <c r="M14" s="9">
        <f>SUM(M5:M6,M7,M8:M10,M12,M13)</f>
        <v>3795.8073149647294</v>
      </c>
      <c r="N14" s="9">
        <f>SUM(N5:N6,N7,N8:N10,N12,N13)</f>
        <v>3824.2719499090167</v>
      </c>
      <c r="O14" s="9">
        <f>SUM(O5:O6,O7,O8:O10,O12,O13)</f>
        <v>3869.8636109638501</v>
      </c>
      <c r="P14" s="9">
        <f t="shared" ref="P14:Q14" si="19">SUM(P5:P6,P7,P8:P10,P12,P13)</f>
        <v>3844.1730717980313</v>
      </c>
      <c r="Q14" s="9">
        <f t="shared" si="19"/>
        <v>3841.881427459296</v>
      </c>
      <c r="S14" t="s">
        <v>27</v>
      </c>
      <c r="T14" s="7">
        <f>K14-'Economy - No IRA'!K14</f>
        <v>0</v>
      </c>
      <c r="U14" s="7">
        <f>L14-'Economy - No IRA'!L14</f>
        <v>-13.267414592675777</v>
      </c>
      <c r="V14" s="7">
        <f>M14-'Economy - No IRA'!M14</f>
        <v>-102.03847950367481</v>
      </c>
      <c r="W14" s="7">
        <f>N14-'Economy - No IRA'!N14</f>
        <v>-37.631212299227627</v>
      </c>
      <c r="X14" s="7">
        <f>O14-'Economy - No IRA'!O14</f>
        <v>-38.234276598895121</v>
      </c>
      <c r="Y14" s="7">
        <f>P14-'Economy - No IRA'!P14</f>
        <v>-75.865488898122294</v>
      </c>
      <c r="Z14" s="7">
        <f>Q14-'Economy - No IRA'!Q14</f>
        <v>-84.429001953395982</v>
      </c>
    </row>
    <row r="15" spans="1:26" x14ac:dyDescent="0.35">
      <c r="A15" t="s">
        <v>28</v>
      </c>
      <c r="C15">
        <v>9.1</v>
      </c>
      <c r="D15">
        <v>51.9</v>
      </c>
      <c r="J15" t="s">
        <v>114</v>
      </c>
      <c r="K15" s="13">
        <f>SUM(K5:K10)</f>
        <v>3622.8331967013482</v>
      </c>
      <c r="L15" s="13">
        <f t="shared" ref="L15:Q15" si="20">SUM(L5:L10)</f>
        <v>3872.238010476015</v>
      </c>
      <c r="M15" s="13">
        <f t="shared" si="20"/>
        <v>3904.6595426239146</v>
      </c>
      <c r="N15" s="13">
        <f t="shared" si="20"/>
        <v>3868.1029968456805</v>
      </c>
      <c r="O15" s="13">
        <f t="shared" si="20"/>
        <v>3904.7787559023132</v>
      </c>
      <c r="P15" s="13">
        <f t="shared" si="20"/>
        <v>3905.6783515617622</v>
      </c>
      <c r="Q15" s="13">
        <f t="shared" si="20"/>
        <v>3911.7379791977778</v>
      </c>
      <c r="S15" t="s">
        <v>114</v>
      </c>
      <c r="T15" s="7">
        <f>K15-'Economy - No IRA'!K15</f>
        <v>8.5482359364195872</v>
      </c>
      <c r="U15" s="7">
        <f>L15-'Economy - No IRA'!L15</f>
        <v>23.722875720380671</v>
      </c>
      <c r="V15" s="7">
        <f>M15-'Economy - No IRA'!M15</f>
        <v>6.8137481555104387</v>
      </c>
      <c r="W15" s="7">
        <f>N15-'Economy - No IRA'!N15</f>
        <v>6.1998346374361972</v>
      </c>
      <c r="X15" s="7">
        <f>O15-'Economy - No IRA'!O15</f>
        <v>-3.3191316604320491</v>
      </c>
      <c r="Y15" s="7">
        <f>P15-'Economy - No IRA'!P15</f>
        <v>-14.360209134391425</v>
      </c>
      <c r="Z15" s="7">
        <f>Q15-'Economy - No IRA'!Q15</f>
        <v>-14.57245021491417</v>
      </c>
    </row>
    <row r="16" spans="1:26" x14ac:dyDescent="0.35">
      <c r="A16" t="s">
        <v>29</v>
      </c>
      <c r="C16">
        <v>7.1</v>
      </c>
      <c r="D16">
        <v>7.3</v>
      </c>
      <c r="M16" s="7"/>
      <c r="S16" t="s">
        <v>127</v>
      </c>
      <c r="T16" s="7">
        <f>-SUM(T12:T13)</f>
        <v>8.5482359364194611</v>
      </c>
      <c r="U16" s="7">
        <f t="shared" ref="U16:Z16" si="21">-SUM(U12:U13)</f>
        <v>36.990290313056882</v>
      </c>
      <c r="V16" s="7">
        <f t="shared" si="21"/>
        <v>108.85222765918544</v>
      </c>
      <c r="W16" s="7">
        <f t="shared" si="21"/>
        <v>43.831046936663846</v>
      </c>
      <c r="X16" s="7">
        <f t="shared" si="21"/>
        <v>34.915144938462895</v>
      </c>
      <c r="Y16" s="7">
        <f t="shared" si="21"/>
        <v>61.505279763730812</v>
      </c>
      <c r="Z16" s="7">
        <f t="shared" si="21"/>
        <v>69.856551738481599</v>
      </c>
    </row>
    <row r="17" spans="1:26" x14ac:dyDescent="0.35">
      <c r="A17" t="s">
        <v>10</v>
      </c>
      <c r="B17">
        <v>1957.2</v>
      </c>
      <c r="C17">
        <v>2107.1999999999998</v>
      </c>
      <c r="D17">
        <v>2102.6999999999998</v>
      </c>
      <c r="E17">
        <v>2160.1999999999998</v>
      </c>
      <c r="F17">
        <v>2233.8000000000002</v>
      </c>
      <c r="G17">
        <v>2265.6</v>
      </c>
      <c r="H17">
        <v>2309</v>
      </c>
      <c r="J17" s="1"/>
      <c r="K17" s="1"/>
      <c r="L17" s="1"/>
      <c r="M17" s="13"/>
      <c r="N17" s="1"/>
      <c r="O17" s="1"/>
      <c r="P17" s="1"/>
      <c r="Q17" s="1"/>
    </row>
    <row r="18" spans="1:26" x14ac:dyDescent="0.35">
      <c r="A18" t="s">
        <v>11</v>
      </c>
      <c r="B18">
        <v>2996.2</v>
      </c>
      <c r="C18">
        <v>3179.7</v>
      </c>
      <c r="D18">
        <v>3147.5</v>
      </c>
      <c r="E18">
        <v>3171.4</v>
      </c>
      <c r="F18">
        <v>3209.2</v>
      </c>
      <c r="G18">
        <v>3187.9</v>
      </c>
      <c r="H18">
        <v>3187</v>
      </c>
      <c r="S18" s="1"/>
      <c r="T18" s="1"/>
      <c r="U18" s="1"/>
      <c r="V18" s="13"/>
      <c r="W18" s="13"/>
      <c r="X18" s="13"/>
      <c r="Y18" s="13"/>
      <c r="Z18" s="13"/>
    </row>
    <row r="19" spans="1:26" x14ac:dyDescent="0.35">
      <c r="A19" t="s">
        <v>12</v>
      </c>
      <c r="B19">
        <v>-0.4</v>
      </c>
      <c r="C19">
        <v>-0.2</v>
      </c>
      <c r="D19">
        <v>0.5</v>
      </c>
      <c r="E19">
        <v>0.6</v>
      </c>
      <c r="F19">
        <v>0.9</v>
      </c>
      <c r="G19">
        <v>0.8</v>
      </c>
      <c r="H19">
        <v>1.7</v>
      </c>
      <c r="S19" s="1"/>
      <c r="T19" s="13"/>
      <c r="U19" s="13"/>
      <c r="V19" s="1"/>
      <c r="W19" s="1"/>
    </row>
    <row r="20" spans="1:26" x14ac:dyDescent="0.35">
      <c r="A20" t="s">
        <v>13</v>
      </c>
      <c r="B20">
        <v>342.4</v>
      </c>
      <c r="C20">
        <v>399.8</v>
      </c>
      <c r="D20">
        <v>397.9</v>
      </c>
      <c r="E20">
        <v>401.5</v>
      </c>
      <c r="F20">
        <v>414.7</v>
      </c>
      <c r="G20">
        <v>397.4</v>
      </c>
      <c r="H20">
        <v>393</v>
      </c>
      <c r="S20" s="1"/>
      <c r="T20" s="13"/>
      <c r="U20" s="13"/>
      <c r="V20" s="1"/>
      <c r="W20" s="1"/>
    </row>
    <row r="21" spans="1:26" x14ac:dyDescent="0.35">
      <c r="A21" t="s">
        <v>14</v>
      </c>
      <c r="B21">
        <v>95.8</v>
      </c>
      <c r="C21">
        <v>104.2</v>
      </c>
      <c r="D21">
        <v>112.5</v>
      </c>
      <c r="E21">
        <v>115.5</v>
      </c>
      <c r="F21">
        <v>117.1</v>
      </c>
      <c r="G21">
        <v>116.7</v>
      </c>
      <c r="H21">
        <v>116.7</v>
      </c>
      <c r="S21" s="1"/>
      <c r="T21" s="13"/>
      <c r="U21" s="13"/>
      <c r="V21" s="1"/>
      <c r="W21" s="1"/>
    </row>
    <row r="22" spans="1:26" x14ac:dyDescent="0.35">
      <c r="A22" t="s">
        <v>16</v>
      </c>
      <c r="B22" s="7"/>
      <c r="C22" s="7"/>
      <c r="D22" s="7"/>
      <c r="E22" s="7"/>
      <c r="F22" s="7"/>
      <c r="G22" s="7"/>
      <c r="H22" s="7"/>
      <c r="S22" s="1"/>
      <c r="T22" s="1"/>
      <c r="U22" s="1"/>
      <c r="V22" s="1"/>
      <c r="W22" s="1"/>
    </row>
    <row r="23" spans="1:26" x14ac:dyDescent="0.35">
      <c r="A23" t="s">
        <v>17</v>
      </c>
      <c r="B23" s="7">
        <f>B7-B21</f>
        <v>600.90000000000009</v>
      </c>
      <c r="C23" s="7">
        <f>C7-C21</f>
        <v>568.5</v>
      </c>
      <c r="D23" s="7">
        <f>D7-D21</f>
        <v>534.4</v>
      </c>
      <c r="E23" s="7">
        <f>E7-E21</f>
        <v>494.20000000000005</v>
      </c>
      <c r="F23" s="7">
        <f>F7-F21</f>
        <v>443.6</v>
      </c>
      <c r="G23" s="7">
        <f t="shared" ref="G23:H23" si="22">G7-G21</f>
        <v>408.2</v>
      </c>
      <c r="H23" s="7">
        <f t="shared" si="22"/>
        <v>368.3</v>
      </c>
      <c r="S23" s="1"/>
      <c r="T23" s="1"/>
      <c r="U23" s="1"/>
      <c r="V23" s="1"/>
      <c r="W23" s="1"/>
    </row>
    <row r="24" spans="1:26" x14ac:dyDescent="0.35">
      <c r="A24" t="s">
        <v>18</v>
      </c>
      <c r="B24" s="7">
        <f>B8-B19</f>
        <v>0</v>
      </c>
      <c r="C24" s="7">
        <f t="shared" ref="C24:F24" si="23">C8-C19</f>
        <v>0</v>
      </c>
      <c r="D24" s="7">
        <f t="shared" si="23"/>
        <v>0</v>
      </c>
      <c r="E24" s="7">
        <f t="shared" si="23"/>
        <v>0</v>
      </c>
      <c r="F24" s="7">
        <f t="shared" si="23"/>
        <v>0</v>
      </c>
      <c r="G24" s="7">
        <f t="shared" ref="G24:H24" si="24">G8-G19</f>
        <v>0</v>
      </c>
      <c r="H24" s="7">
        <f t="shared" si="24"/>
        <v>0</v>
      </c>
      <c r="S24" s="1"/>
      <c r="T24" s="1"/>
      <c r="U24" s="1"/>
      <c r="V24" s="1"/>
      <c r="W24" s="1"/>
    </row>
    <row r="25" spans="1:26" x14ac:dyDescent="0.35">
      <c r="A25" t="s">
        <v>35</v>
      </c>
      <c r="B25" s="7">
        <f>'Power - Tax Credits'!J6</f>
        <v>7.0873337562330034</v>
      </c>
      <c r="C25" s="7">
        <f>'Power - Tax Credits'!K6</f>
        <v>14.468612230466453</v>
      </c>
      <c r="D25" s="7">
        <f>'Power - Tax Credits'!L6</f>
        <v>31.049271693973157</v>
      </c>
      <c r="E25" s="7">
        <f>'Power - Tax Credits'!M6</f>
        <v>36.34027661798121</v>
      </c>
      <c r="F25" s="7">
        <f>'Power - Tax Credits'!N6</f>
        <v>28.948111302340333</v>
      </c>
      <c r="G25" s="7">
        <f>'Power - Tax Credits'!O6</f>
        <v>50.993965152373875</v>
      </c>
      <c r="H25" s="7">
        <f>'Power - Tax Credits'!P6</f>
        <v>57.917996287495505</v>
      </c>
      <c r="S25" s="1"/>
      <c r="T25" s="1"/>
      <c r="U25" s="1"/>
      <c r="V25" s="1"/>
      <c r="W25" s="1"/>
    </row>
    <row r="26" spans="1:26" x14ac:dyDescent="0.35">
      <c r="D26" s="1"/>
      <c r="E26" s="1"/>
      <c r="F26" s="1"/>
      <c r="G26" s="1"/>
      <c r="H26" s="1"/>
    </row>
    <row r="27" spans="1:26" x14ac:dyDescent="0.35">
      <c r="A27" t="s">
        <v>47</v>
      </c>
      <c r="B27" s="6">
        <f>GDPDEF_Annual!B87/GDPDEF_Annual!B80</f>
        <v>1.2061285993342217</v>
      </c>
      <c r="D27" s="1"/>
      <c r="E27" s="1"/>
      <c r="F27" s="1"/>
      <c r="G27" s="1"/>
      <c r="H27" s="1"/>
    </row>
    <row r="52" spans="1:6" x14ac:dyDescent="0.35">
      <c r="A52" t="s">
        <v>117</v>
      </c>
    </row>
    <row r="53" spans="1:6" x14ac:dyDescent="0.35">
      <c r="A53">
        <v>2025</v>
      </c>
      <c r="B53">
        <v>2030</v>
      </c>
      <c r="C53">
        <v>2035</v>
      </c>
      <c r="D53">
        <v>2040</v>
      </c>
      <c r="E53">
        <v>2045</v>
      </c>
      <c r="F53">
        <v>2050</v>
      </c>
    </row>
    <row r="54" spans="1:6" x14ac:dyDescent="0.35">
      <c r="A54">
        <v>2.8130000000000002</v>
      </c>
      <c r="B54">
        <v>1.9570000000000001</v>
      </c>
      <c r="C54">
        <v>1.361</v>
      </c>
      <c r="D54">
        <v>0.94699999999999995</v>
      </c>
      <c r="E54">
        <v>0.65900000000000003</v>
      </c>
      <c r="F54">
        <v>0.45800000000000002</v>
      </c>
    </row>
  </sheetData>
  <pageMargins left="0.7" right="0.7" top="0.75" bottom="0.75" header="0.3" footer="0.3"/>
  <drawing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A7961-7D9E-4F80-A140-45740087736E}">
  <sheetPr>
    <tabColor theme="4"/>
  </sheetPr>
  <dimension ref="A1:X43"/>
  <sheetViews>
    <sheetView zoomScale="70" zoomScaleNormal="70" workbookViewId="0">
      <selection activeCell="R19" sqref="R19"/>
    </sheetView>
  </sheetViews>
  <sheetFormatPr defaultRowHeight="14.5" x14ac:dyDescent="0.35"/>
  <sheetData>
    <row r="1" spans="1:24" x14ac:dyDescent="0.35">
      <c r="A1" t="s">
        <v>56</v>
      </c>
    </row>
    <row r="3" spans="1:24" x14ac:dyDescent="0.35">
      <c r="A3" t="s">
        <v>57</v>
      </c>
      <c r="J3" t="s">
        <v>63</v>
      </c>
      <c r="R3" t="s">
        <v>110</v>
      </c>
    </row>
    <row r="4" spans="1:24" x14ac:dyDescent="0.35">
      <c r="B4">
        <v>2020</v>
      </c>
      <c r="C4">
        <v>2025</v>
      </c>
      <c r="D4">
        <v>2030</v>
      </c>
      <c r="E4">
        <v>2035</v>
      </c>
      <c r="F4">
        <v>2040</v>
      </c>
      <c r="G4">
        <v>2045</v>
      </c>
      <c r="H4">
        <v>2050</v>
      </c>
      <c r="K4">
        <v>2025</v>
      </c>
      <c r="L4">
        <v>2030</v>
      </c>
      <c r="M4">
        <v>2035</v>
      </c>
      <c r="N4">
        <v>2040</v>
      </c>
      <c r="O4">
        <v>2045</v>
      </c>
      <c r="P4">
        <v>2050</v>
      </c>
      <c r="S4">
        <f t="shared" ref="S4:X4" si="0">K4</f>
        <v>2025</v>
      </c>
      <c r="T4">
        <f t="shared" si="0"/>
        <v>2030</v>
      </c>
      <c r="U4">
        <f t="shared" si="0"/>
        <v>2035</v>
      </c>
      <c r="V4">
        <f t="shared" si="0"/>
        <v>2040</v>
      </c>
      <c r="W4">
        <f t="shared" si="0"/>
        <v>2045</v>
      </c>
      <c r="X4">
        <f t="shared" si="0"/>
        <v>2050</v>
      </c>
    </row>
    <row r="5" spans="1:24" x14ac:dyDescent="0.35">
      <c r="A5" t="s">
        <v>58</v>
      </c>
      <c r="B5" s="7">
        <f>B39</f>
        <v>36.078394632923164</v>
      </c>
      <c r="C5" s="7">
        <f t="shared" ref="C5:H5" si="1">C39</f>
        <v>65.122996964926713</v>
      </c>
      <c r="D5" s="7">
        <f t="shared" si="1"/>
        <v>38.658621889826243</v>
      </c>
      <c r="E5" s="7">
        <f t="shared" si="1"/>
        <v>44.239194934516796</v>
      </c>
      <c r="F5" s="7">
        <f t="shared" si="1"/>
        <v>53.584480859806078</v>
      </c>
      <c r="G5" s="7">
        <f t="shared" si="1"/>
        <v>99.299888207910143</v>
      </c>
      <c r="H5" s="7">
        <f t="shared" si="1"/>
        <v>40.778969405037046</v>
      </c>
      <c r="J5" t="str">
        <f>A5</f>
        <v>Investment</v>
      </c>
      <c r="K5" s="7">
        <f>K39</f>
        <v>66.203411188193087</v>
      </c>
      <c r="L5" s="7">
        <f t="shared" ref="L5:P5" si="2">L39</f>
        <v>39.329464073654442</v>
      </c>
      <c r="M5" s="7">
        <f t="shared" si="2"/>
        <v>18.537709455665464</v>
      </c>
      <c r="N5" s="7">
        <f t="shared" si="2"/>
        <v>26.384652476531954</v>
      </c>
      <c r="O5" s="7">
        <f t="shared" si="2"/>
        <v>47.484981546587782</v>
      </c>
      <c r="P5" s="7">
        <f t="shared" si="2"/>
        <v>23.688388831602872</v>
      </c>
      <c r="R5" t="str">
        <f>J5</f>
        <v>Investment</v>
      </c>
      <c r="S5" s="7">
        <f>C5-K5</f>
        <v>-1.0804142232663736</v>
      </c>
      <c r="T5" s="7">
        <f t="shared" ref="T5:X10" si="3">D5-L5</f>
        <v>-0.67084218382819927</v>
      </c>
      <c r="U5" s="7">
        <f t="shared" si="3"/>
        <v>25.701485478851332</v>
      </c>
      <c r="V5" s="7">
        <f t="shared" si="3"/>
        <v>27.199828383274124</v>
      </c>
      <c r="W5" s="7">
        <f t="shared" si="3"/>
        <v>51.814906661322361</v>
      </c>
      <c r="X5" s="7">
        <f t="shared" si="3"/>
        <v>17.090580573434174</v>
      </c>
    </row>
    <row r="6" spans="1:24" x14ac:dyDescent="0.35">
      <c r="A6" t="s">
        <v>59</v>
      </c>
      <c r="B6" s="7">
        <f t="shared" ref="B6:H9" si="4">B40</f>
        <v>51.444542007611233</v>
      </c>
      <c r="C6" s="7">
        <f t="shared" si="4"/>
        <v>61.270827753434332</v>
      </c>
      <c r="D6" s="7">
        <f t="shared" si="4"/>
        <v>63.939713761624603</v>
      </c>
      <c r="E6" s="7">
        <f t="shared" si="4"/>
        <v>56.993404730982434</v>
      </c>
      <c r="F6" s="7">
        <f t="shared" si="4"/>
        <v>56.9390085031159</v>
      </c>
      <c r="G6" s="7">
        <f t="shared" si="4"/>
        <v>42.877881019920984</v>
      </c>
      <c r="H6" s="7">
        <f t="shared" si="4"/>
        <v>41.743132741036504</v>
      </c>
      <c r="J6" t="str">
        <f t="shared" ref="J6:J10" si="5">A6</f>
        <v>Fuel</v>
      </c>
      <c r="K6" s="7">
        <f t="shared" ref="K6:P9" si="6">K40</f>
        <v>60.720933369855267</v>
      </c>
      <c r="L6" s="7">
        <f t="shared" si="6"/>
        <v>59.676389693601045</v>
      </c>
      <c r="M6" s="7">
        <f t="shared" si="6"/>
        <v>62.79749924213418</v>
      </c>
      <c r="N6" s="7">
        <f t="shared" si="6"/>
        <v>72.527443906821858</v>
      </c>
      <c r="O6" s="7">
        <f t="shared" si="6"/>
        <v>74.027759469996951</v>
      </c>
      <c r="P6" s="7">
        <f t="shared" si="6"/>
        <v>79.130090649799627</v>
      </c>
      <c r="R6" t="str">
        <f t="shared" ref="R6:R10" si="7">J6</f>
        <v>Fuel</v>
      </c>
      <c r="S6" s="7">
        <f t="shared" ref="S6:S9" si="8">C6-K6</f>
        <v>0.5498943835790655</v>
      </c>
      <c r="T6" s="7">
        <f t="shared" si="3"/>
        <v>4.2633240680235573</v>
      </c>
      <c r="U6" s="7">
        <f t="shared" si="3"/>
        <v>-5.8040945111517459</v>
      </c>
      <c r="V6" s="7">
        <f t="shared" si="3"/>
        <v>-15.588435403705958</v>
      </c>
      <c r="W6" s="7">
        <f t="shared" si="3"/>
        <v>-31.149878450075967</v>
      </c>
      <c r="X6" s="7">
        <f t="shared" si="3"/>
        <v>-37.386957908763122</v>
      </c>
    </row>
    <row r="7" spans="1:24" x14ac:dyDescent="0.35">
      <c r="A7" t="s">
        <v>60</v>
      </c>
      <c r="B7" s="7">
        <f t="shared" si="4"/>
        <v>8.1904867525812399</v>
      </c>
      <c r="C7" s="7">
        <f t="shared" si="4"/>
        <v>7.6269707621762093</v>
      </c>
      <c r="D7" s="7">
        <f t="shared" si="4"/>
        <v>8.1835093549601741</v>
      </c>
      <c r="E7" s="7">
        <f t="shared" si="4"/>
        <v>7.9650789351325368</v>
      </c>
      <c r="F7" s="7">
        <f t="shared" si="4"/>
        <v>8.4559881239578694</v>
      </c>
      <c r="G7" s="7">
        <f t="shared" si="4"/>
        <v>8.2553699830539671</v>
      </c>
      <c r="H7" s="7">
        <f t="shared" si="4"/>
        <v>8.5444797994088475</v>
      </c>
      <c r="J7" t="str">
        <f t="shared" si="5"/>
        <v>VOM</v>
      </c>
      <c r="K7" s="7">
        <f t="shared" si="6"/>
        <v>7.5685474027538442</v>
      </c>
      <c r="L7" s="7">
        <f t="shared" si="6"/>
        <v>7.8439971464546394</v>
      </c>
      <c r="M7" s="7">
        <f t="shared" si="6"/>
        <v>8.5876179288314951</v>
      </c>
      <c r="N7" s="7">
        <f t="shared" si="6"/>
        <v>10.692177166023191</v>
      </c>
      <c r="O7" s="7">
        <f t="shared" si="6"/>
        <v>13.449511762747502</v>
      </c>
      <c r="P7" s="7">
        <f t="shared" si="6"/>
        <v>14.971630482701121</v>
      </c>
      <c r="R7" t="str">
        <f t="shared" si="7"/>
        <v>VOM</v>
      </c>
      <c r="S7" s="7">
        <f t="shared" si="8"/>
        <v>5.8423359422365095E-2</v>
      </c>
      <c r="T7" s="7">
        <f t="shared" si="3"/>
        <v>0.33951220850553465</v>
      </c>
      <c r="U7" s="7">
        <f t="shared" si="3"/>
        <v>-0.62253899369895827</v>
      </c>
      <c r="V7" s="7">
        <f t="shared" si="3"/>
        <v>-2.2361890420653214</v>
      </c>
      <c r="W7" s="7">
        <f t="shared" si="3"/>
        <v>-5.1941417796935347</v>
      </c>
      <c r="X7" s="7">
        <f t="shared" si="3"/>
        <v>-6.4271506832922736</v>
      </c>
    </row>
    <row r="8" spans="1:24" x14ac:dyDescent="0.35">
      <c r="A8" t="s">
        <v>61</v>
      </c>
      <c r="B8" s="7">
        <f t="shared" si="4"/>
        <v>63.237220764412037</v>
      </c>
      <c r="C8" s="7">
        <f t="shared" si="4"/>
        <v>62.955299204517225</v>
      </c>
      <c r="D8" s="7">
        <f t="shared" si="4"/>
        <v>64.149927072694993</v>
      </c>
      <c r="E8" s="7">
        <f t="shared" si="4"/>
        <v>67.585104647634381</v>
      </c>
      <c r="F8" s="7">
        <f t="shared" si="4"/>
        <v>69.855427119914793</v>
      </c>
      <c r="G8" s="7">
        <f t="shared" si="4"/>
        <v>72.781258992254095</v>
      </c>
      <c r="H8" s="7">
        <f t="shared" si="4"/>
        <v>74.494795190771427</v>
      </c>
      <c r="J8" t="str">
        <f t="shared" si="5"/>
        <v>FOM</v>
      </c>
      <c r="K8" s="7">
        <f t="shared" si="6"/>
        <v>62.106564716030462</v>
      </c>
      <c r="L8" s="7">
        <f t="shared" si="6"/>
        <v>62.986475748265569</v>
      </c>
      <c r="M8" s="7">
        <f t="shared" si="6"/>
        <v>63.1663777481849</v>
      </c>
      <c r="N8" s="7">
        <f t="shared" si="6"/>
        <v>60.543223811100098</v>
      </c>
      <c r="O8" s="7">
        <f t="shared" si="6"/>
        <v>56.52982918545468</v>
      </c>
      <c r="P8" s="7">
        <f t="shared" si="6"/>
        <v>54.57325670636979</v>
      </c>
      <c r="R8" t="str">
        <f t="shared" si="7"/>
        <v>FOM</v>
      </c>
      <c r="S8" s="7">
        <f t="shared" si="8"/>
        <v>0.84873448848676247</v>
      </c>
      <c r="T8" s="7">
        <f t="shared" si="3"/>
        <v>1.163451324429424</v>
      </c>
      <c r="U8" s="7">
        <f t="shared" si="3"/>
        <v>4.4187268994494815</v>
      </c>
      <c r="V8" s="7">
        <f t="shared" si="3"/>
        <v>9.3122033088146949</v>
      </c>
      <c r="W8" s="7">
        <f t="shared" si="3"/>
        <v>16.251429806799415</v>
      </c>
      <c r="X8" s="7">
        <f t="shared" si="3"/>
        <v>19.921538484401637</v>
      </c>
    </row>
    <row r="9" spans="1:24" x14ac:dyDescent="0.35">
      <c r="A9" t="s">
        <v>62</v>
      </c>
      <c r="B9" s="7">
        <f t="shared" si="4"/>
        <v>2.0609001430386042</v>
      </c>
      <c r="C9" s="7">
        <f t="shared" si="4"/>
        <v>2.6010922389585769</v>
      </c>
      <c r="D9" s="7">
        <f t="shared" si="4"/>
        <v>2.8151571257347761</v>
      </c>
      <c r="E9" s="7">
        <f t="shared" si="4"/>
        <v>2.9761131170104855</v>
      </c>
      <c r="F9" s="7">
        <f t="shared" si="4"/>
        <v>3.1865756570962898</v>
      </c>
      <c r="G9" s="7">
        <f t="shared" si="4"/>
        <v>3.6391641742938106</v>
      </c>
      <c r="H9" s="7">
        <f t="shared" si="4"/>
        <v>3.9171899502273488</v>
      </c>
      <c r="J9" t="str">
        <f t="shared" si="5"/>
        <v>Other</v>
      </c>
      <c r="K9" s="7">
        <f t="shared" si="6"/>
        <v>2.3474941610085831</v>
      </c>
      <c r="L9" s="7">
        <f t="shared" si="6"/>
        <v>2.6742127290502635</v>
      </c>
      <c r="M9" s="7">
        <f t="shared" si="6"/>
        <v>3.0811209195775753</v>
      </c>
      <c r="N9" s="7">
        <f t="shared" si="6"/>
        <v>2.6374695077589925</v>
      </c>
      <c r="O9" s="7">
        <f t="shared" si="6"/>
        <v>2.6126329557450778</v>
      </c>
      <c r="P9" s="7">
        <f t="shared" si="6"/>
        <v>2.0512811680951284</v>
      </c>
      <c r="R9" t="str">
        <f t="shared" si="7"/>
        <v>Other</v>
      </c>
      <c r="S9" s="7">
        <f t="shared" si="8"/>
        <v>0.25359807794999378</v>
      </c>
      <c r="T9" s="7">
        <f t="shared" si="3"/>
        <v>0.14094439668451253</v>
      </c>
      <c r="U9" s="7">
        <f t="shared" si="3"/>
        <v>-0.10500780256708975</v>
      </c>
      <c r="V9" s="7">
        <f t="shared" si="3"/>
        <v>0.54910614933729729</v>
      </c>
      <c r="W9" s="7">
        <f t="shared" si="3"/>
        <v>1.0265312185487327</v>
      </c>
      <c r="X9" s="7">
        <f t="shared" si="3"/>
        <v>1.8659087821322204</v>
      </c>
    </row>
    <row r="10" spans="1:24" x14ac:dyDescent="0.35">
      <c r="A10" t="s">
        <v>64</v>
      </c>
      <c r="B10" s="7">
        <f>'Power - Decomp'!B10</f>
        <v>261.41219907126253</v>
      </c>
      <c r="C10" s="7">
        <f>'Power - Decomp'!C10</f>
        <v>306.29635240712844</v>
      </c>
      <c r="D10" s="7">
        <f>'Power - Decomp'!D10</f>
        <v>314.756841704262</v>
      </c>
      <c r="E10" s="7">
        <f>'Power - Decomp'!E10</f>
        <v>357.08550921586755</v>
      </c>
      <c r="F10" s="7">
        <f>'Power - Decomp'!F10</f>
        <v>366.17051909161535</v>
      </c>
      <c r="G10" s="7">
        <f>'Power - Decomp'!G10</f>
        <v>326.39285655410305</v>
      </c>
      <c r="H10" s="7">
        <f>'Power - Decomp'!H10</f>
        <v>399.57708477857966</v>
      </c>
      <c r="J10" t="str">
        <f t="shared" si="5"/>
        <v>T&amp;D</v>
      </c>
      <c r="K10" s="7">
        <f>'Power - Decomp'!K10</f>
        <v>277.57172195922601</v>
      </c>
      <c r="L10" s="7">
        <f>'Power - Decomp'!L10</f>
        <v>314.67789450554369</v>
      </c>
      <c r="M10" s="7">
        <f>'Power - Decomp'!M10</f>
        <v>330.67135888789932</v>
      </c>
      <c r="N10" s="7">
        <f>'Power - Decomp'!N10</f>
        <v>341.65335310391208</v>
      </c>
      <c r="O10" s="7">
        <f>'Power - Decomp'!O10</f>
        <v>348.41867553199239</v>
      </c>
      <c r="P10" s="7">
        <f>'Power - Decomp'!P10</f>
        <v>358.85788536825203</v>
      </c>
      <c r="R10" t="str">
        <f t="shared" si="7"/>
        <v>T&amp;D</v>
      </c>
      <c r="S10" s="7">
        <f>C10-K10</f>
        <v>28.724630447902427</v>
      </c>
      <c r="T10" s="7">
        <f t="shared" si="3"/>
        <v>7.8947198718310574E-2</v>
      </c>
      <c r="U10" s="7">
        <f t="shared" si="3"/>
        <v>26.41415032796823</v>
      </c>
      <c r="V10" s="7">
        <f t="shared" si="3"/>
        <v>24.517165987703265</v>
      </c>
      <c r="W10" s="7">
        <f t="shared" si="3"/>
        <v>-22.025818977889344</v>
      </c>
      <c r="X10" s="7">
        <f t="shared" si="3"/>
        <v>40.719199410327633</v>
      </c>
    </row>
    <row r="11" spans="1:24" x14ac:dyDescent="0.35">
      <c r="R11" t="s">
        <v>111</v>
      </c>
      <c r="S11" s="7"/>
      <c r="T11" s="7"/>
      <c r="U11" s="7"/>
      <c r="V11" s="7"/>
      <c r="W11" s="7"/>
      <c r="X11" s="7"/>
    </row>
    <row r="12" spans="1:24" x14ac:dyDescent="0.35">
      <c r="R12" t="s">
        <v>114</v>
      </c>
      <c r="S12" s="7">
        <f t="shared" ref="S12:V12" si="9">SUM(S5:S10)</f>
        <v>29.35486653407424</v>
      </c>
      <c r="T12" s="7">
        <f t="shared" si="9"/>
        <v>5.3153370125331403</v>
      </c>
      <c r="U12" s="7">
        <f t="shared" si="9"/>
        <v>50.00272139885125</v>
      </c>
      <c r="V12" s="7">
        <f t="shared" si="9"/>
        <v>43.753679383358104</v>
      </c>
      <c r="W12" s="7">
        <f t="shared" ref="W12:X12" si="10">SUM(W5:W10)</f>
        <v>10.72302847901166</v>
      </c>
      <c r="X12" s="7">
        <f t="shared" si="10"/>
        <v>35.783118658240269</v>
      </c>
    </row>
    <row r="14" spans="1:24" x14ac:dyDescent="0.35">
      <c r="R14" t="s">
        <v>113</v>
      </c>
      <c r="T14">
        <f>[1]Projections!D35-[1]Projections!D49</f>
        <v>51.534125275599308</v>
      </c>
      <c r="U14">
        <f>[1]Projections!E35-[1]Projections!E49</f>
        <v>-74.102631530880899</v>
      </c>
      <c r="V14">
        <f>[1]Projections!F35-[1]Projections!F49</f>
        <v>-218.46392152621695</v>
      </c>
      <c r="W14">
        <f>[1]Projections!G35-[1]Projections!G49</f>
        <v>-436.81793783792284</v>
      </c>
      <c r="X14">
        <f>[1]Projections!H35-[1]Projections!H49</f>
        <v>-498.55027254153174</v>
      </c>
    </row>
    <row r="15" spans="1:24" x14ac:dyDescent="0.35">
      <c r="R15" t="s">
        <v>112</v>
      </c>
      <c r="T15">
        <f>T12*1000/-T14</f>
        <v>-103.14208272881811</v>
      </c>
      <c r="U15">
        <f t="shared" ref="U15:X15" si="11">U12*1000/-U14</f>
        <v>674.77659518762903</v>
      </c>
      <c r="V15">
        <f t="shared" si="11"/>
        <v>200.27874203524908</v>
      </c>
      <c r="W15">
        <f t="shared" si="11"/>
        <v>24.548049771230637</v>
      </c>
      <c r="X15">
        <f t="shared" si="11"/>
        <v>71.774343790493774</v>
      </c>
    </row>
    <row r="17" spans="1:23" x14ac:dyDescent="0.35">
      <c r="S17" t="s">
        <v>118</v>
      </c>
      <c r="T17" t="s">
        <v>119</v>
      </c>
      <c r="V17" t="s">
        <v>151</v>
      </c>
    </row>
    <row r="18" spans="1:23" x14ac:dyDescent="0.35">
      <c r="R18" t="s">
        <v>115</v>
      </c>
      <c r="S18" s="7">
        <f>SUMPRODUCT(T12:X12,B25:F25)</f>
        <v>143.37009675195787</v>
      </c>
      <c r="T18" s="7">
        <f>5*SUM(T12:X12)</f>
        <v>727.88942465997206</v>
      </c>
      <c r="V18">
        <f>H25</f>
        <v>7.0000000000000007E-2</v>
      </c>
      <c r="W18">
        <f>[1]Projections!S13</f>
        <v>0.72820616905525093</v>
      </c>
    </row>
    <row r="19" spans="1:23" x14ac:dyDescent="0.35">
      <c r="R19" t="s">
        <v>152</v>
      </c>
      <c r="S19" s="7">
        <f>[1]Projections!$T$5</f>
        <v>0.72806662973430325</v>
      </c>
      <c r="T19" s="7">
        <f>[1]Projections!$S$5</f>
        <v>5.8873151550855187</v>
      </c>
      <c r="V19">
        <f t="shared" ref="V19:V22" si="12">H26</f>
        <v>0.03</v>
      </c>
      <c r="W19">
        <f>[1]Projections!S14</f>
        <v>2.4352073997555088</v>
      </c>
    </row>
    <row r="20" spans="1:23" x14ac:dyDescent="0.35">
      <c r="R20" t="s">
        <v>116</v>
      </c>
      <c r="S20" s="13">
        <f>S18/S19</f>
        <v>196.91892320937521</v>
      </c>
      <c r="T20" s="13">
        <f>T18/T19</f>
        <v>123.6369050213346</v>
      </c>
      <c r="U20" s="13"/>
      <c r="V20">
        <f t="shared" si="12"/>
        <v>2.5000000000000001E-2</v>
      </c>
      <c r="W20">
        <f>[1]Projections!S15</f>
        <v>2.8247046523629944</v>
      </c>
    </row>
    <row r="21" spans="1:23" x14ac:dyDescent="0.35">
      <c r="V21">
        <f t="shared" si="12"/>
        <v>0.02</v>
      </c>
      <c r="W21">
        <f>[1]Projections!S16</f>
        <v>3.2749297833890121</v>
      </c>
    </row>
    <row r="22" spans="1:23" x14ac:dyDescent="0.35">
      <c r="V22">
        <f t="shared" si="12"/>
        <v>1.4999999999999999E-2</v>
      </c>
      <c r="W22">
        <f>[1]Projections!S17</f>
        <v>3.7951637685554269</v>
      </c>
    </row>
    <row r="23" spans="1:23" x14ac:dyDescent="0.35">
      <c r="A23" t="s">
        <v>117</v>
      </c>
    </row>
    <row r="24" spans="1:23" x14ac:dyDescent="0.35">
      <c r="A24">
        <v>2025</v>
      </c>
      <c r="B24">
        <v>2030</v>
      </c>
      <c r="C24">
        <v>2035</v>
      </c>
      <c r="D24">
        <v>2040</v>
      </c>
      <c r="E24">
        <v>2045</v>
      </c>
      <c r="F24">
        <v>2050</v>
      </c>
      <c r="H24" t="s">
        <v>147</v>
      </c>
      <c r="S24" t="s">
        <v>148</v>
      </c>
      <c r="T24" t="s">
        <v>149</v>
      </c>
      <c r="U24" t="s">
        <v>150</v>
      </c>
    </row>
    <row r="25" spans="1:23" x14ac:dyDescent="0.35">
      <c r="A25">
        <f>(1-$H25)^(A$24+1-2020)*(1-(1-$H25)^5)/$H25</f>
        <v>2.812666253889391</v>
      </c>
      <c r="B25">
        <f t="shared" ref="B25:F29" si="13">(1-$H25)^(B$24+1-2020)*(1-(1-$H25)^5)/$H25</f>
        <v>1.9567391995534495</v>
      </c>
      <c r="C25">
        <f t="shared" si="13"/>
        <v>1.3612807028827261</v>
      </c>
      <c r="D25">
        <f t="shared" si="13"/>
        <v>0.94702715234804136</v>
      </c>
      <c r="E25">
        <f t="shared" si="13"/>
        <v>0.65883577529983128</v>
      </c>
      <c r="F25">
        <f t="shared" si="13"/>
        <v>0.45834438615484063</v>
      </c>
      <c r="H25">
        <f>0.07</f>
        <v>7.0000000000000007E-2</v>
      </c>
      <c r="R25">
        <f>H25</f>
        <v>7.0000000000000007E-2</v>
      </c>
      <c r="S25">
        <f>SUMPRODUCT($T$12:$X$12,B25:F25)</f>
        <v>143.37009675195787</v>
      </c>
      <c r="T25">
        <f>S25/$T$19</f>
        <v>24.352373361244883</v>
      </c>
      <c r="U25">
        <f>S25/W18</f>
        <v>196.88118948231542</v>
      </c>
    </row>
    <row r="26" spans="1:23" x14ac:dyDescent="0.35">
      <c r="A26">
        <f t="shared" ref="A26:A29" si="14">(1-$H26)^(A$24+1-2020)*(1-(1-$H26)^5)/$H26</f>
        <v>3.9223533946973217</v>
      </c>
      <c r="B26">
        <f t="shared" si="13"/>
        <v>3.3682583208464925</v>
      </c>
      <c r="C26">
        <f t="shared" si="13"/>
        <v>2.8924380274580304</v>
      </c>
      <c r="D26">
        <f t="shared" si="13"/>
        <v>2.4838349514068012</v>
      </c>
      <c r="E26">
        <f t="shared" si="13"/>
        <v>2.1329535869959266</v>
      </c>
      <c r="F26">
        <f t="shared" si="13"/>
        <v>1.8316398203922666</v>
      </c>
      <c r="H26">
        <v>0.03</v>
      </c>
      <c r="R26">
        <f>H26</f>
        <v>0.03</v>
      </c>
      <c r="S26">
        <f>SUMPRODUCT($T$12:$X$12,B26:F26)</f>
        <v>359.62362616604867</v>
      </c>
      <c r="T26" s="8">
        <f t="shared" ref="T26:T29" si="15">S26/$T$19</f>
        <v>61.084487018739324</v>
      </c>
      <c r="U26">
        <f t="shared" ref="U26:U29" si="16">S26/W19</f>
        <v>147.67679590746741</v>
      </c>
    </row>
    <row r="27" spans="1:23" x14ac:dyDescent="0.35">
      <c r="A27">
        <f t="shared" si="14"/>
        <v>4.0858768276145545</v>
      </c>
      <c r="B27">
        <f t="shared" si="13"/>
        <v>3.6000484764080491</v>
      </c>
      <c r="C27">
        <f t="shared" si="13"/>
        <v>3.1719872084481113</v>
      </c>
      <c r="D27">
        <f t="shared" si="13"/>
        <v>2.7948242687546565</v>
      </c>
      <c r="E27">
        <f t="shared" si="13"/>
        <v>2.462507626895992</v>
      </c>
      <c r="F27">
        <f t="shared" si="13"/>
        <v>2.1697048649226729</v>
      </c>
      <c r="H27">
        <v>2.5000000000000001E-2</v>
      </c>
      <c r="R27">
        <f>H27</f>
        <v>2.5000000000000001E-2</v>
      </c>
      <c r="S27">
        <f>SUMPRODUCT($T$12:$X$12,B27:F27)</f>
        <v>404.07165461411387</v>
      </c>
      <c r="T27" s="8">
        <f t="shared" si="15"/>
        <v>68.634283025442073</v>
      </c>
      <c r="U27">
        <f t="shared" si="16"/>
        <v>143.04916950382386</v>
      </c>
    </row>
    <row r="28" spans="1:23" x14ac:dyDescent="0.35">
      <c r="A28">
        <f t="shared" si="14"/>
        <v>4.2555515057102093</v>
      </c>
      <c r="B28">
        <f t="shared" si="13"/>
        <v>3.8466815078650116</v>
      </c>
      <c r="C28">
        <f t="shared" si="13"/>
        <v>3.4770954136251664</v>
      </c>
      <c r="D28">
        <f t="shared" si="13"/>
        <v>3.1430188568336854</v>
      </c>
      <c r="E28">
        <f t="shared" si="13"/>
        <v>2.8410401094265296</v>
      </c>
      <c r="F28">
        <f t="shared" si="13"/>
        <v>2.5680752394535875</v>
      </c>
      <c r="H28">
        <v>0.02</v>
      </c>
      <c r="R28">
        <f>H28</f>
        <v>0.02</v>
      </c>
      <c r="S28">
        <f>SUMPRODUCT($T$12:$X$12,B28:F28)</f>
        <v>454.18757621670574</v>
      </c>
      <c r="T28" s="8">
        <f t="shared" si="15"/>
        <v>77.146808732393779</v>
      </c>
      <c r="U28">
        <f t="shared" si="16"/>
        <v>138.68620283720909</v>
      </c>
    </row>
    <row r="29" spans="1:23" x14ac:dyDescent="0.35">
      <c r="A29">
        <f t="shared" si="14"/>
        <v>4.4315846136589787</v>
      </c>
      <c r="B29">
        <f t="shared" si="13"/>
        <v>4.1090383854141983</v>
      </c>
      <c r="C29">
        <f t="shared" si="13"/>
        <v>3.8099681998098474</v>
      </c>
      <c r="D29">
        <f t="shared" si="13"/>
        <v>3.5326653883519437</v>
      </c>
      <c r="E29">
        <f t="shared" si="13"/>
        <v>3.2755456454157912</v>
      </c>
      <c r="F29">
        <f t="shared" si="13"/>
        <v>3.0371399766813836</v>
      </c>
      <c r="H29">
        <v>1.4999999999999999E-2</v>
      </c>
      <c r="R29">
        <f>H29</f>
        <v>1.4999999999999999E-2</v>
      </c>
      <c r="S29">
        <f>SUMPRODUCT($T$12:$X$12,B29:F29)</f>
        <v>510.71892042749454</v>
      </c>
      <c r="T29" s="8">
        <f t="shared" si="15"/>
        <v>86.749037035384575</v>
      </c>
      <c r="U29">
        <f t="shared" si="16"/>
        <v>134.57098338127636</v>
      </c>
    </row>
    <row r="35" spans="1:16" x14ac:dyDescent="0.35">
      <c r="A35" t="s">
        <v>56</v>
      </c>
    </row>
    <row r="37" spans="1:16" x14ac:dyDescent="0.35">
      <c r="A37" t="s">
        <v>57</v>
      </c>
      <c r="J37" t="s">
        <v>63</v>
      </c>
    </row>
    <row r="38" spans="1:16" x14ac:dyDescent="0.35">
      <c r="B38">
        <v>2020</v>
      </c>
      <c r="C38">
        <v>2025</v>
      </c>
      <c r="D38">
        <v>2030</v>
      </c>
      <c r="E38">
        <v>2035</v>
      </c>
      <c r="F38">
        <v>2040</v>
      </c>
      <c r="G38">
        <v>2045</v>
      </c>
      <c r="H38">
        <v>2050</v>
      </c>
      <c r="K38">
        <v>2025</v>
      </c>
      <c r="L38">
        <v>2030</v>
      </c>
      <c r="M38">
        <v>2035</v>
      </c>
      <c r="N38">
        <v>2040</v>
      </c>
      <c r="O38">
        <v>2045</v>
      </c>
      <c r="P38">
        <v>2050</v>
      </c>
    </row>
    <row r="39" spans="1:16" x14ac:dyDescent="0.35">
      <c r="A39" t="s">
        <v>58</v>
      </c>
      <c r="B39" s="7">
        <v>36.078394632923164</v>
      </c>
      <c r="C39" s="7">
        <v>65.122996964926713</v>
      </c>
      <c r="D39" s="7">
        <v>38.658621889826243</v>
      </c>
      <c r="E39" s="7">
        <v>44.239194934516796</v>
      </c>
      <c r="F39" s="7">
        <v>53.584480859806078</v>
      </c>
      <c r="G39" s="7">
        <v>99.299888207910143</v>
      </c>
      <c r="H39" s="7">
        <v>40.778969405037046</v>
      </c>
      <c r="J39" t="str">
        <f>A39</f>
        <v>Investment</v>
      </c>
      <c r="K39" s="7">
        <v>66.203411188193087</v>
      </c>
      <c r="L39" s="7">
        <v>39.329464073654442</v>
      </c>
      <c r="M39" s="7">
        <v>18.537709455665464</v>
      </c>
      <c r="N39" s="7">
        <v>26.384652476531954</v>
      </c>
      <c r="O39" s="7">
        <v>47.484981546587782</v>
      </c>
      <c r="P39" s="7">
        <v>23.688388831602872</v>
      </c>
    </row>
    <row r="40" spans="1:16" x14ac:dyDescent="0.35">
      <c r="A40" t="s">
        <v>59</v>
      </c>
      <c r="B40" s="7">
        <v>51.444542007611233</v>
      </c>
      <c r="C40" s="7">
        <v>61.270827753434332</v>
      </c>
      <c r="D40" s="7">
        <v>63.939713761624603</v>
      </c>
      <c r="E40" s="7">
        <v>56.993404730982434</v>
      </c>
      <c r="F40" s="7">
        <v>56.9390085031159</v>
      </c>
      <c r="G40" s="7">
        <v>42.877881019920984</v>
      </c>
      <c r="H40" s="7">
        <v>41.743132741036504</v>
      </c>
      <c r="J40" t="str">
        <f t="shared" ref="J40:J43" si="17">A40</f>
        <v>Fuel</v>
      </c>
      <c r="K40" s="7">
        <v>60.720933369855267</v>
      </c>
      <c r="L40" s="7">
        <v>59.676389693601045</v>
      </c>
      <c r="M40" s="7">
        <v>62.79749924213418</v>
      </c>
      <c r="N40" s="7">
        <v>72.527443906821858</v>
      </c>
      <c r="O40" s="7">
        <v>74.027759469996951</v>
      </c>
      <c r="P40" s="7">
        <v>79.130090649799627</v>
      </c>
    </row>
    <row r="41" spans="1:16" x14ac:dyDescent="0.35">
      <c r="A41" t="s">
        <v>60</v>
      </c>
      <c r="B41" s="7">
        <v>8.1904867525812399</v>
      </c>
      <c r="C41" s="7">
        <v>7.6269707621762093</v>
      </c>
      <c r="D41" s="7">
        <v>8.1835093549601741</v>
      </c>
      <c r="E41" s="7">
        <v>7.9650789351325368</v>
      </c>
      <c r="F41" s="7">
        <v>8.4559881239578694</v>
      </c>
      <c r="G41" s="7">
        <v>8.2553699830539671</v>
      </c>
      <c r="H41" s="7">
        <v>8.5444797994088475</v>
      </c>
      <c r="J41" t="str">
        <f t="shared" si="17"/>
        <v>VOM</v>
      </c>
      <c r="K41" s="7">
        <v>7.5685474027538442</v>
      </c>
      <c r="L41" s="7">
        <v>7.8439971464546394</v>
      </c>
      <c r="M41" s="7">
        <v>8.5876179288314951</v>
      </c>
      <c r="N41" s="7">
        <v>10.692177166023191</v>
      </c>
      <c r="O41" s="7">
        <v>13.449511762747502</v>
      </c>
      <c r="P41" s="7">
        <v>14.971630482701121</v>
      </c>
    </row>
    <row r="42" spans="1:16" x14ac:dyDescent="0.35">
      <c r="A42" t="s">
        <v>61</v>
      </c>
      <c r="B42" s="7">
        <v>63.237220764412037</v>
      </c>
      <c r="C42" s="7">
        <v>62.955299204517225</v>
      </c>
      <c r="D42" s="7">
        <v>64.149927072694993</v>
      </c>
      <c r="E42" s="7">
        <v>67.585104647634381</v>
      </c>
      <c r="F42" s="7">
        <v>69.855427119914793</v>
      </c>
      <c r="G42" s="7">
        <v>72.781258992254095</v>
      </c>
      <c r="H42" s="7">
        <v>74.494795190771427</v>
      </c>
      <c r="J42" t="str">
        <f t="shared" si="17"/>
        <v>FOM</v>
      </c>
      <c r="K42" s="7">
        <v>62.106564716030462</v>
      </c>
      <c r="L42" s="7">
        <v>62.986475748265569</v>
      </c>
      <c r="M42" s="7">
        <v>63.1663777481849</v>
      </c>
      <c r="N42" s="7">
        <v>60.543223811100098</v>
      </c>
      <c r="O42" s="7">
        <v>56.52982918545468</v>
      </c>
      <c r="P42" s="7">
        <v>54.57325670636979</v>
      </c>
    </row>
    <row r="43" spans="1:16" x14ac:dyDescent="0.35">
      <c r="A43" t="s">
        <v>62</v>
      </c>
      <c r="B43" s="7">
        <v>2.0609001430386042</v>
      </c>
      <c r="C43" s="7">
        <v>2.6010922389585769</v>
      </c>
      <c r="D43" s="7">
        <v>2.8151571257347761</v>
      </c>
      <c r="E43" s="7">
        <v>2.9761131170104855</v>
      </c>
      <c r="F43" s="7">
        <v>3.1865756570962898</v>
      </c>
      <c r="G43" s="7">
        <v>3.6391641742938106</v>
      </c>
      <c r="H43" s="7">
        <v>3.9171899502273488</v>
      </c>
      <c r="J43" t="str">
        <f t="shared" si="17"/>
        <v>Other</v>
      </c>
      <c r="K43" s="7">
        <v>2.3474941610085831</v>
      </c>
      <c r="L43" s="7">
        <v>2.6742127290502635</v>
      </c>
      <c r="M43" s="7">
        <v>3.0811209195775753</v>
      </c>
      <c r="N43" s="7">
        <v>2.6374695077589925</v>
      </c>
      <c r="O43" s="7">
        <v>2.6126329557450778</v>
      </c>
      <c r="P43" s="7">
        <v>2.0512811680951284</v>
      </c>
    </row>
  </sheetData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85DE8-19F1-466E-8925-F0999B186A50}">
  <sheetPr>
    <tabColor theme="4"/>
  </sheetPr>
  <dimension ref="A1:X43"/>
  <sheetViews>
    <sheetView tabSelected="1" zoomScale="70" zoomScaleNormal="70" workbookViewId="0">
      <selection activeCell="Q57" sqref="Q57"/>
    </sheetView>
  </sheetViews>
  <sheetFormatPr defaultRowHeight="14.5" x14ac:dyDescent="0.35"/>
  <sheetData>
    <row r="1" spans="1:24" x14ac:dyDescent="0.35">
      <c r="A1" t="s">
        <v>56</v>
      </c>
    </row>
    <row r="3" spans="1:24" x14ac:dyDescent="0.35">
      <c r="A3" t="s">
        <v>57</v>
      </c>
      <c r="J3" t="s">
        <v>63</v>
      </c>
      <c r="R3" t="s">
        <v>110</v>
      </c>
    </row>
    <row r="4" spans="1:24" x14ac:dyDescent="0.35">
      <c r="B4">
        <v>2020</v>
      </c>
      <c r="C4">
        <v>2025</v>
      </c>
      <c r="D4">
        <v>2030</v>
      </c>
      <c r="E4">
        <v>2035</v>
      </c>
      <c r="F4">
        <v>2040</v>
      </c>
      <c r="G4">
        <v>2045</v>
      </c>
      <c r="H4">
        <v>2050</v>
      </c>
      <c r="K4">
        <v>2025</v>
      </c>
      <c r="L4">
        <v>2030</v>
      </c>
      <c r="M4">
        <v>2035</v>
      </c>
      <c r="N4">
        <v>2040</v>
      </c>
      <c r="O4">
        <v>2045</v>
      </c>
      <c r="P4">
        <v>2050</v>
      </c>
      <c r="S4">
        <f t="shared" ref="S4:X4" si="0">K4</f>
        <v>2025</v>
      </c>
      <c r="T4">
        <f t="shared" si="0"/>
        <v>2030</v>
      </c>
      <c r="U4">
        <f t="shared" si="0"/>
        <v>2035</v>
      </c>
      <c r="V4">
        <f t="shared" si="0"/>
        <v>2040</v>
      </c>
      <c r="W4">
        <f t="shared" si="0"/>
        <v>2045</v>
      </c>
      <c r="X4">
        <f t="shared" si="0"/>
        <v>2050</v>
      </c>
    </row>
    <row r="5" spans="1:24" x14ac:dyDescent="0.35">
      <c r="A5" t="s">
        <v>58</v>
      </c>
      <c r="B5" s="7">
        <f>B39</f>
        <v>36.132374376506867</v>
      </c>
      <c r="C5" s="7">
        <f t="shared" ref="C5:H5" si="1">C39</f>
        <v>60.499383897135196</v>
      </c>
      <c r="D5" s="7">
        <f t="shared" si="1"/>
        <v>119.7432324793886</v>
      </c>
      <c r="E5" s="7">
        <f t="shared" si="1"/>
        <v>57.422024246393804</v>
      </c>
      <c r="F5" s="7">
        <f t="shared" si="1"/>
        <v>40.547815372497759</v>
      </c>
      <c r="G5" s="7">
        <f t="shared" si="1"/>
        <v>145.21158412462864</v>
      </c>
      <c r="H5" s="7">
        <f t="shared" si="1"/>
        <v>34.096216604870797</v>
      </c>
      <c r="J5" t="str">
        <f>A5</f>
        <v>Investment</v>
      </c>
      <c r="K5" s="7">
        <f>K39</f>
        <v>62.760976191503069</v>
      </c>
      <c r="L5" s="7">
        <f t="shared" ref="L5:P5" si="2">L39</f>
        <v>31.674063603910081</v>
      </c>
      <c r="M5" s="7">
        <f t="shared" si="2"/>
        <v>22.334520161131465</v>
      </c>
      <c r="N5" s="7">
        <f t="shared" si="2"/>
        <v>35.689968649987946</v>
      </c>
      <c r="O5" s="7">
        <f t="shared" si="2"/>
        <v>35.784187350384698</v>
      </c>
      <c r="P5" s="7">
        <f t="shared" si="2"/>
        <v>20.62618321638314</v>
      </c>
      <c r="R5" t="str">
        <f>J5</f>
        <v>Investment</v>
      </c>
      <c r="S5" s="7">
        <f>C5-K5</f>
        <v>-2.2615922943678726</v>
      </c>
      <c r="T5" s="7">
        <f t="shared" ref="T5:X10" si="3">D5-L5</f>
        <v>88.06916887547851</v>
      </c>
      <c r="U5" s="7">
        <f t="shared" si="3"/>
        <v>35.087504085262339</v>
      </c>
      <c r="V5" s="7">
        <f t="shared" si="3"/>
        <v>4.8578467225098123</v>
      </c>
      <c r="W5" s="7">
        <f t="shared" si="3"/>
        <v>109.42739677424395</v>
      </c>
      <c r="X5" s="7">
        <f t="shared" si="3"/>
        <v>13.470033388487657</v>
      </c>
    </row>
    <row r="6" spans="1:24" x14ac:dyDescent="0.35">
      <c r="A6" t="s">
        <v>59</v>
      </c>
      <c r="B6" s="7">
        <f t="shared" ref="B6:H9" si="4">B40</f>
        <v>51.365497196101074</v>
      </c>
      <c r="C6" s="7">
        <f t="shared" si="4"/>
        <v>70.108676039568465</v>
      </c>
      <c r="D6" s="7">
        <f t="shared" si="4"/>
        <v>47.693986848194108</v>
      </c>
      <c r="E6" s="7">
        <f t="shared" si="4"/>
        <v>35.932371365013367</v>
      </c>
      <c r="F6" s="7">
        <f t="shared" si="4"/>
        <v>29.196941357108727</v>
      </c>
      <c r="G6" s="7">
        <f t="shared" si="4"/>
        <v>15.723622265088171</v>
      </c>
      <c r="H6" s="7">
        <f t="shared" si="4"/>
        <v>18.106805332973135</v>
      </c>
      <c r="J6" t="str">
        <f t="shared" ref="J6:J10" si="5">A6</f>
        <v>Fuel</v>
      </c>
      <c r="K6" s="7">
        <f t="shared" ref="K6:P9" si="6">K40</f>
        <v>64.050363586780904</v>
      </c>
      <c r="L6" s="7">
        <f t="shared" si="6"/>
        <v>60.135717911661104</v>
      </c>
      <c r="M6" s="7">
        <f t="shared" si="6"/>
        <v>60.289207124686072</v>
      </c>
      <c r="N6" s="7">
        <f t="shared" si="6"/>
        <v>60.80879804057323</v>
      </c>
      <c r="O6" s="7">
        <f t="shared" si="6"/>
        <v>59.614206701484257</v>
      </c>
      <c r="P6" s="7">
        <f t="shared" si="6"/>
        <v>59.859954612465181</v>
      </c>
      <c r="R6" t="str">
        <f t="shared" ref="R6:R10" si="7">J6</f>
        <v>Fuel</v>
      </c>
      <c r="S6" s="7">
        <f t="shared" ref="S6:S9" si="8">C6-K6</f>
        <v>6.0583124527875611</v>
      </c>
      <c r="T6" s="7">
        <f t="shared" si="3"/>
        <v>-12.441731063466996</v>
      </c>
      <c r="U6" s="7">
        <f t="shared" si="3"/>
        <v>-24.356835759672705</v>
      </c>
      <c r="V6" s="7">
        <f t="shared" si="3"/>
        <v>-31.611856683464502</v>
      </c>
      <c r="W6" s="7">
        <f t="shared" si="3"/>
        <v>-43.890584436396082</v>
      </c>
      <c r="X6" s="7">
        <f t="shared" si="3"/>
        <v>-41.75314927949205</v>
      </c>
    </row>
    <row r="7" spans="1:24" x14ac:dyDescent="0.35">
      <c r="A7" t="s">
        <v>60</v>
      </c>
      <c r="B7" s="7">
        <f t="shared" si="4"/>
        <v>8.202899304865328</v>
      </c>
      <c r="C7" s="7">
        <f t="shared" si="4"/>
        <v>8.2931928873993908</v>
      </c>
      <c r="D7" s="7">
        <f t="shared" si="4"/>
        <v>7.9753508224909986</v>
      </c>
      <c r="E7" s="7">
        <f t="shared" si="4"/>
        <v>6.5946727753728922</v>
      </c>
      <c r="F7" s="7">
        <f t="shared" si="4"/>
        <v>6.0955458873678579</v>
      </c>
      <c r="G7" s="7">
        <f t="shared" si="4"/>
        <v>2.5418162732431506</v>
      </c>
      <c r="H7" s="7">
        <f t="shared" si="4"/>
        <v>3.0795601978377025</v>
      </c>
      <c r="J7" t="str">
        <f t="shared" si="5"/>
        <v>VOM</v>
      </c>
      <c r="K7" s="7">
        <f t="shared" si="6"/>
        <v>8.0336006586680924</v>
      </c>
      <c r="L7" s="7">
        <f t="shared" si="6"/>
        <v>8.3598853558700252</v>
      </c>
      <c r="M7" s="7">
        <f t="shared" si="6"/>
        <v>8.784790596246415</v>
      </c>
      <c r="N7" s="7">
        <f t="shared" si="6"/>
        <v>9.7272286927062144</v>
      </c>
      <c r="O7" s="7">
        <f t="shared" si="6"/>
        <v>11.289659488926439</v>
      </c>
      <c r="P7" s="7">
        <f t="shared" si="6"/>
        <v>11.992117933234711</v>
      </c>
      <c r="R7" t="str">
        <f t="shared" si="7"/>
        <v>VOM</v>
      </c>
      <c r="S7" s="7">
        <f t="shared" si="8"/>
        <v>0.25959222873129839</v>
      </c>
      <c r="T7" s="7">
        <f t="shared" si="3"/>
        <v>-0.38453453337902666</v>
      </c>
      <c r="U7" s="7">
        <f t="shared" si="3"/>
        <v>-2.1901178208735228</v>
      </c>
      <c r="V7" s="7">
        <f t="shared" si="3"/>
        <v>-3.6316828053383565</v>
      </c>
      <c r="W7" s="7">
        <f t="shared" si="3"/>
        <v>-8.7478432156832895</v>
      </c>
      <c r="X7" s="7">
        <f t="shared" si="3"/>
        <v>-8.9125577353970087</v>
      </c>
    </row>
    <row r="8" spans="1:24" x14ac:dyDescent="0.35">
      <c r="A8" t="s">
        <v>61</v>
      </c>
      <c r="B8" s="7">
        <f t="shared" si="4"/>
        <v>63.133870259560844</v>
      </c>
      <c r="C8" s="7">
        <f t="shared" si="4"/>
        <v>62.574377502325973</v>
      </c>
      <c r="D8" s="7">
        <f t="shared" si="4"/>
        <v>68.808926604760401</v>
      </c>
      <c r="E8" s="7">
        <f t="shared" si="4"/>
        <v>67.742181497234128</v>
      </c>
      <c r="F8" s="7">
        <f t="shared" si="4"/>
        <v>68.98935109512513</v>
      </c>
      <c r="G8" s="7">
        <f t="shared" si="4"/>
        <v>62.947701294467244</v>
      </c>
      <c r="H8" s="7">
        <f t="shared" si="4"/>
        <v>64.554739634550629</v>
      </c>
      <c r="J8" t="str">
        <f t="shared" si="5"/>
        <v>FOM</v>
      </c>
      <c r="K8" s="7">
        <f t="shared" si="6"/>
        <v>61.646942941705554</v>
      </c>
      <c r="L8" s="7">
        <f t="shared" si="6"/>
        <v>62.073069471436355</v>
      </c>
      <c r="M8" s="7">
        <f t="shared" si="6"/>
        <v>63.432514412723556</v>
      </c>
      <c r="N8" s="7">
        <f t="shared" si="6"/>
        <v>63.777562108921465</v>
      </c>
      <c r="O8" s="7">
        <f t="shared" si="6"/>
        <v>61.054682437359062</v>
      </c>
      <c r="P8" s="7">
        <f t="shared" si="6"/>
        <v>60.625937914526162</v>
      </c>
      <c r="R8" t="str">
        <f t="shared" si="7"/>
        <v>FOM</v>
      </c>
      <c r="S8" s="7">
        <f t="shared" si="8"/>
        <v>0.92743456062041929</v>
      </c>
      <c r="T8" s="7">
        <f t="shared" si="3"/>
        <v>6.7358571333240462</v>
      </c>
      <c r="U8" s="7">
        <f t="shared" si="3"/>
        <v>4.309667084510572</v>
      </c>
      <c r="V8" s="7">
        <f t="shared" si="3"/>
        <v>5.2117889862036648</v>
      </c>
      <c r="W8" s="7">
        <f t="shared" si="3"/>
        <v>1.8930188571081814</v>
      </c>
      <c r="X8" s="7">
        <f t="shared" si="3"/>
        <v>3.9288017200244667</v>
      </c>
    </row>
    <row r="9" spans="1:24" x14ac:dyDescent="0.35">
      <c r="A9" t="s">
        <v>62</v>
      </c>
      <c r="B9" s="7">
        <f t="shared" si="4"/>
        <v>2.0176926232894159</v>
      </c>
      <c r="C9" s="7">
        <f t="shared" si="4"/>
        <v>2.9916300554219428</v>
      </c>
      <c r="D9" s="7">
        <f t="shared" si="4"/>
        <v>2.6523280096102289</v>
      </c>
      <c r="E9" s="7">
        <f t="shared" si="4"/>
        <v>2.7975999482446992</v>
      </c>
      <c r="F9" s="7">
        <f t="shared" si="4"/>
        <v>3.877406166387956</v>
      </c>
      <c r="G9" s="7">
        <f t="shared" si="4"/>
        <v>5.1651069775070404</v>
      </c>
      <c r="H9" s="7">
        <f t="shared" si="4"/>
        <v>4.0824107976969941</v>
      </c>
      <c r="J9" t="str">
        <f t="shared" si="5"/>
        <v>Other</v>
      </c>
      <c r="K9" s="7">
        <f t="shared" si="6"/>
        <v>2.8642110606920586</v>
      </c>
      <c r="L9" s="7">
        <f t="shared" si="6"/>
        <v>2.8105553944396169</v>
      </c>
      <c r="M9" s="7">
        <f t="shared" si="6"/>
        <v>2.3266348740433855</v>
      </c>
      <c r="N9" s="7">
        <f t="shared" si="6"/>
        <v>2.3221291946963434</v>
      </c>
      <c r="O9" s="7">
        <f t="shared" si="6"/>
        <v>2.112894663826439</v>
      </c>
      <c r="P9" s="7">
        <f t="shared" si="6"/>
        <v>2.0668797233897207</v>
      </c>
      <c r="R9" t="str">
        <f t="shared" si="7"/>
        <v>Other</v>
      </c>
      <c r="S9" s="7">
        <f t="shared" si="8"/>
        <v>0.12741899472988427</v>
      </c>
      <c r="T9" s="7">
        <f t="shared" si="3"/>
        <v>-0.15822738482938803</v>
      </c>
      <c r="U9" s="7">
        <f t="shared" si="3"/>
        <v>0.47096507420131362</v>
      </c>
      <c r="V9" s="7">
        <f t="shared" si="3"/>
        <v>1.5552769716916126</v>
      </c>
      <c r="W9" s="7">
        <f t="shared" si="3"/>
        <v>3.0522123136806014</v>
      </c>
      <c r="X9" s="7">
        <f t="shared" si="3"/>
        <v>2.0155310743072734</v>
      </c>
    </row>
    <row r="10" spans="1:24" x14ac:dyDescent="0.35">
      <c r="A10" t="s">
        <v>64</v>
      </c>
      <c r="B10" s="7">
        <f>'Power - Decomp'!B10</f>
        <v>261.41219907126253</v>
      </c>
      <c r="C10" s="7">
        <f>'Power - Decomp'!C10</f>
        <v>306.29635240712844</v>
      </c>
      <c r="D10" s="7">
        <f>'Power - Decomp'!D10</f>
        <v>314.756841704262</v>
      </c>
      <c r="E10" s="7">
        <f>'Power - Decomp'!E10</f>
        <v>357.08550921586755</v>
      </c>
      <c r="F10" s="7">
        <f>'Power - Decomp'!F10</f>
        <v>366.17051909161535</v>
      </c>
      <c r="G10" s="7">
        <f>'Power - Decomp'!G10</f>
        <v>326.39285655410305</v>
      </c>
      <c r="H10" s="7">
        <f>'Power - Decomp'!H10</f>
        <v>399.57708477857966</v>
      </c>
      <c r="J10" t="str">
        <f t="shared" si="5"/>
        <v>T&amp;D</v>
      </c>
      <c r="K10" s="7">
        <f>'Power - Decomp'!K10</f>
        <v>277.57172195922601</v>
      </c>
      <c r="L10" s="7">
        <f>'Power - Decomp'!L10</f>
        <v>314.67789450554369</v>
      </c>
      <c r="M10" s="7">
        <f>'Power - Decomp'!M10</f>
        <v>330.67135888789932</v>
      </c>
      <c r="N10" s="7">
        <f>'Power - Decomp'!N10</f>
        <v>341.65335310391208</v>
      </c>
      <c r="O10" s="7">
        <f>'Power - Decomp'!O10</f>
        <v>348.41867553199239</v>
      </c>
      <c r="P10" s="7">
        <f>'Power - Decomp'!P10</f>
        <v>358.85788536825203</v>
      </c>
      <c r="R10" t="str">
        <f t="shared" si="7"/>
        <v>T&amp;D</v>
      </c>
      <c r="S10" s="7">
        <f>C10-K10</f>
        <v>28.724630447902427</v>
      </c>
      <c r="T10" s="7">
        <f t="shared" si="3"/>
        <v>7.8947198718310574E-2</v>
      </c>
      <c r="U10" s="7">
        <f t="shared" si="3"/>
        <v>26.41415032796823</v>
      </c>
      <c r="V10" s="7">
        <f t="shared" si="3"/>
        <v>24.517165987703265</v>
      </c>
      <c r="W10" s="7">
        <f t="shared" si="3"/>
        <v>-22.025818977889344</v>
      </c>
      <c r="X10" s="7">
        <f t="shared" si="3"/>
        <v>40.719199410327633</v>
      </c>
    </row>
    <row r="11" spans="1:24" x14ac:dyDescent="0.35">
      <c r="R11" t="s">
        <v>111</v>
      </c>
      <c r="S11" s="7"/>
      <c r="T11" s="7"/>
      <c r="U11" s="7"/>
      <c r="V11" s="7"/>
      <c r="W11" s="7"/>
      <c r="X11" s="7"/>
    </row>
    <row r="12" spans="1:24" x14ac:dyDescent="0.35">
      <c r="R12" t="s">
        <v>114</v>
      </c>
      <c r="S12" s="7">
        <f t="shared" ref="S12:V12" si="9">SUM(S5:S10)</f>
        <v>33.835796390403715</v>
      </c>
      <c r="T12" s="7">
        <f t="shared" si="9"/>
        <v>81.899480225845465</v>
      </c>
      <c r="U12" s="7">
        <f t="shared" si="9"/>
        <v>39.735332991396227</v>
      </c>
      <c r="V12" s="7">
        <f t="shared" si="9"/>
        <v>0.89853917930549443</v>
      </c>
      <c r="W12" s="7">
        <f t="shared" ref="W12:X12" si="10">SUM(W5:W10)</f>
        <v>39.70838131506401</v>
      </c>
      <c r="X12" s="7">
        <f t="shared" si="10"/>
        <v>9.4678585782579709</v>
      </c>
    </row>
    <row r="14" spans="1:24" x14ac:dyDescent="0.35">
      <c r="R14" t="s">
        <v>113</v>
      </c>
      <c r="T14">
        <f>[1]Projections!D42-[1]Projections!D50</f>
        <v>-449.62034981020361</v>
      </c>
      <c r="U14">
        <f>[1]Projections!E42-[1]Projections!E50</f>
        <v>-554.48054296297892</v>
      </c>
      <c r="V14">
        <f>[1]Projections!F42-[1]Projections!F50</f>
        <v>-593.25161461637606</v>
      </c>
      <c r="W14">
        <f>[1]Projections!G42-[1]Projections!G50</f>
        <v>-641.8942535426869</v>
      </c>
      <c r="X14">
        <f>[1]Projections!H42-[1]Projections!H50</f>
        <v>-525.7311998349428</v>
      </c>
    </row>
    <row r="15" spans="1:24" x14ac:dyDescent="0.35">
      <c r="R15" t="s">
        <v>112</v>
      </c>
      <c r="T15">
        <f>T12*1000/-T14</f>
        <v>182.15252103339483</v>
      </c>
      <c r="U15">
        <f t="shared" ref="U15:X15" si="11">U12*1000/-U14</f>
        <v>71.662267496461538</v>
      </c>
      <c r="V15">
        <f t="shared" si="11"/>
        <v>1.5146004783931879</v>
      </c>
      <c r="W15">
        <f t="shared" si="11"/>
        <v>61.86125065913734</v>
      </c>
      <c r="X15">
        <f t="shared" si="11"/>
        <v>18.008934187718886</v>
      </c>
    </row>
    <row r="17" spans="1:23" x14ac:dyDescent="0.35">
      <c r="S17" t="s">
        <v>118</v>
      </c>
      <c r="T17" t="s">
        <v>119</v>
      </c>
      <c r="V17" t="s">
        <v>151</v>
      </c>
    </row>
    <row r="18" spans="1:23" x14ac:dyDescent="0.35">
      <c r="R18" t="s">
        <v>115</v>
      </c>
      <c r="S18" s="7">
        <f>SUMPRODUCT(T12:X12,B25:F25)</f>
        <v>245.69864842288629</v>
      </c>
      <c r="T18" s="7">
        <f>5*SUM(T12:X12)</f>
        <v>858.54796144934562</v>
      </c>
      <c r="V18">
        <f>H25</f>
        <v>7.0000000000000007E-2</v>
      </c>
      <c r="W18">
        <f>[1]Projections!U13</f>
        <v>2.6201729205765698</v>
      </c>
    </row>
    <row r="19" spans="1:23" x14ac:dyDescent="0.35">
      <c r="R19" t="s">
        <v>152</v>
      </c>
      <c r="S19" s="7">
        <f>[1]Projections!$T$6</f>
        <v>2.6200142980493539</v>
      </c>
      <c r="T19" s="7">
        <f>[1]Projections!$S$6</f>
        <v>13.568782558383498</v>
      </c>
      <c r="V19">
        <f t="shared" ref="V19:V22" si="12">H26</f>
        <v>0.03</v>
      </c>
      <c r="W19">
        <f>[1]Projections!U14</f>
        <v>6.5890103309217434</v>
      </c>
    </row>
    <row r="20" spans="1:23" x14ac:dyDescent="0.35">
      <c r="R20" t="s">
        <v>116</v>
      </c>
      <c r="S20" s="13">
        <f>S18/S19</f>
        <v>93.777598315327211</v>
      </c>
      <c r="T20" s="13">
        <f>T18/T19</f>
        <v>63.273765185284816</v>
      </c>
      <c r="U20" s="13"/>
      <c r="V20">
        <f t="shared" si="12"/>
        <v>2.5000000000000001E-2</v>
      </c>
      <c r="W20">
        <f>[1]Projections!U15</f>
        <v>7.4080377386562555</v>
      </c>
    </row>
    <row r="21" spans="1:23" x14ac:dyDescent="0.35">
      <c r="V21">
        <f t="shared" si="12"/>
        <v>0.02</v>
      </c>
      <c r="W21">
        <f>[1]Projections!U16</f>
        <v>8.3326011222020195</v>
      </c>
    </row>
    <row r="22" spans="1:23" x14ac:dyDescent="0.35">
      <c r="V22">
        <f t="shared" si="12"/>
        <v>1.4999999999999999E-2</v>
      </c>
      <c r="W22">
        <f>[1]Projections!U17</f>
        <v>9.3767728194269075</v>
      </c>
    </row>
    <row r="23" spans="1:23" x14ac:dyDescent="0.35">
      <c r="A23" t="s">
        <v>117</v>
      </c>
    </row>
    <row r="24" spans="1:23" x14ac:dyDescent="0.35">
      <c r="A24">
        <v>2025</v>
      </c>
      <c r="B24">
        <v>2030</v>
      </c>
      <c r="C24">
        <v>2035</v>
      </c>
      <c r="D24">
        <v>2040</v>
      </c>
      <c r="E24">
        <v>2045</v>
      </c>
      <c r="F24">
        <v>2050</v>
      </c>
      <c r="H24" t="s">
        <v>147</v>
      </c>
      <c r="S24" t="s">
        <v>148</v>
      </c>
      <c r="T24" t="s">
        <v>149</v>
      </c>
      <c r="U24" t="s">
        <v>150</v>
      </c>
    </row>
    <row r="25" spans="1:23" x14ac:dyDescent="0.35">
      <c r="A25">
        <f>(1-$H25)^(A$24+1-2020)*(1-(1-$H25)^5)/$H25</f>
        <v>2.812666253889391</v>
      </c>
      <c r="B25">
        <f t="shared" ref="B25:F29" si="13">(1-$H25)^(B$24+1-2020)*(1-(1-$H25)^5)/$H25</f>
        <v>1.9567391995534495</v>
      </c>
      <c r="C25">
        <f t="shared" si="13"/>
        <v>1.3612807028827261</v>
      </c>
      <c r="D25">
        <f t="shared" si="13"/>
        <v>0.94702715234804136</v>
      </c>
      <c r="E25">
        <f t="shared" si="13"/>
        <v>0.65883577529983128</v>
      </c>
      <c r="F25">
        <f t="shared" si="13"/>
        <v>0.45834438615484063</v>
      </c>
      <c r="H25">
        <f>0.07</f>
        <v>7.0000000000000007E-2</v>
      </c>
      <c r="R25">
        <f>H25</f>
        <v>7.0000000000000007E-2</v>
      </c>
      <c r="S25">
        <f>SUMPRODUCT($T$12:$X$12,B25:F25)</f>
        <v>245.69864842288629</v>
      </c>
      <c r="T25">
        <f>S25/$T$19</f>
        <v>18.107641372075854</v>
      </c>
      <c r="U25">
        <f>S25/W18</f>
        <v>93.77192111764144</v>
      </c>
    </row>
    <row r="26" spans="1:23" x14ac:dyDescent="0.35">
      <c r="A26">
        <f t="shared" ref="A26:A29" si="14">(1-$H26)^(A$24+1-2020)*(1-(1-$H26)^5)/$H26</f>
        <v>3.9223533946973217</v>
      </c>
      <c r="B26">
        <f t="shared" si="13"/>
        <v>3.3682583208464925</v>
      </c>
      <c r="C26">
        <f t="shared" si="13"/>
        <v>2.8924380274580304</v>
      </c>
      <c r="D26">
        <f t="shared" si="13"/>
        <v>2.4838349514068012</v>
      </c>
      <c r="E26">
        <f t="shared" si="13"/>
        <v>2.1329535869959266</v>
      </c>
      <c r="F26">
        <f t="shared" si="13"/>
        <v>1.8316398203922666</v>
      </c>
      <c r="H26">
        <v>0.03</v>
      </c>
      <c r="R26">
        <f>H26</f>
        <v>0.03</v>
      </c>
      <c r="S26">
        <f>SUMPRODUCT($T$12:$X$12,B26:F26)</f>
        <v>495.06025808604386</v>
      </c>
      <c r="T26" s="8">
        <f t="shared" ref="T26:T29" si="15">S26/$T$19</f>
        <v>36.485237784297013</v>
      </c>
      <c r="U26">
        <f t="shared" ref="U26:U29" si="16">S26/W19</f>
        <v>75.134236132968596</v>
      </c>
    </row>
    <row r="27" spans="1:23" x14ac:dyDescent="0.35">
      <c r="A27">
        <f t="shared" si="14"/>
        <v>4.0858768276145545</v>
      </c>
      <c r="B27">
        <f t="shared" si="13"/>
        <v>3.6000484764080491</v>
      </c>
      <c r="C27">
        <f t="shared" si="13"/>
        <v>3.1719872084481113</v>
      </c>
      <c r="D27">
        <f t="shared" si="13"/>
        <v>2.7948242687546565</v>
      </c>
      <c r="E27">
        <f t="shared" si="13"/>
        <v>2.462507626895992</v>
      </c>
      <c r="F27">
        <f t="shared" si="13"/>
        <v>2.1697048649226729</v>
      </c>
      <c r="H27">
        <v>2.5000000000000001E-2</v>
      </c>
      <c r="R27">
        <f>H27</f>
        <v>2.5000000000000001E-2</v>
      </c>
      <c r="S27">
        <f>SUMPRODUCT($T$12:$X$12,B27:F27)</f>
        <v>541.71797674023674</v>
      </c>
      <c r="T27" s="8">
        <f t="shared" si="15"/>
        <v>39.92384537148731</v>
      </c>
      <c r="U27">
        <f t="shared" si="16"/>
        <v>73.125704248706896</v>
      </c>
    </row>
    <row r="28" spans="1:23" x14ac:dyDescent="0.35">
      <c r="A28">
        <f t="shared" si="14"/>
        <v>4.2555515057102093</v>
      </c>
      <c r="B28">
        <f t="shared" si="13"/>
        <v>3.8466815078650116</v>
      </c>
      <c r="C28">
        <f t="shared" si="13"/>
        <v>3.4770954136251664</v>
      </c>
      <c r="D28">
        <f t="shared" si="13"/>
        <v>3.1430188568336854</v>
      </c>
      <c r="E28">
        <f t="shared" si="13"/>
        <v>2.8410401094265296</v>
      </c>
      <c r="F28">
        <f t="shared" si="13"/>
        <v>2.5680752394535875</v>
      </c>
      <c r="H28">
        <v>0.02</v>
      </c>
      <c r="R28">
        <f>H28</f>
        <v>0.02</v>
      </c>
      <c r="S28">
        <f>SUMPRODUCT($T$12:$X$12,B28:F28)</f>
        <v>593.15616295790187</v>
      </c>
      <c r="T28" s="8">
        <f t="shared" si="15"/>
        <v>43.714766627417077</v>
      </c>
      <c r="U28">
        <f t="shared" si="16"/>
        <v>71.184994248368767</v>
      </c>
    </row>
    <row r="29" spans="1:23" x14ac:dyDescent="0.35">
      <c r="A29">
        <f t="shared" si="14"/>
        <v>4.4315846136589787</v>
      </c>
      <c r="B29">
        <f t="shared" si="13"/>
        <v>4.1090383854141983</v>
      </c>
      <c r="C29">
        <f t="shared" si="13"/>
        <v>3.8099681998098474</v>
      </c>
      <c r="D29">
        <f t="shared" si="13"/>
        <v>3.5326653883519437</v>
      </c>
      <c r="E29">
        <f t="shared" si="13"/>
        <v>3.2755456454157912</v>
      </c>
      <c r="F29">
        <f t="shared" si="13"/>
        <v>3.0371399766813836</v>
      </c>
      <c r="H29">
        <v>1.4999999999999999E-2</v>
      </c>
      <c r="R29">
        <f>H29</f>
        <v>1.4999999999999999E-2</v>
      </c>
      <c r="S29">
        <f>SUMPRODUCT($T$12:$X$12,B29:F29)</f>
        <v>649.91452864301618</v>
      </c>
      <c r="T29" s="8">
        <f t="shared" si="15"/>
        <v>47.897777552744792</v>
      </c>
      <c r="U29">
        <f t="shared" si="16"/>
        <v>69.311109606549891</v>
      </c>
    </row>
    <row r="35" spans="1:16" x14ac:dyDescent="0.35">
      <c r="A35" t="s">
        <v>56</v>
      </c>
    </row>
    <row r="37" spans="1:16" x14ac:dyDescent="0.35">
      <c r="A37" t="s">
        <v>57</v>
      </c>
      <c r="J37" t="s">
        <v>63</v>
      </c>
    </row>
    <row r="38" spans="1:16" x14ac:dyDescent="0.35">
      <c r="B38">
        <v>2020</v>
      </c>
      <c r="C38">
        <v>2025</v>
      </c>
      <c r="D38">
        <v>2030</v>
      </c>
      <c r="E38">
        <v>2035</v>
      </c>
      <c r="F38">
        <v>2040</v>
      </c>
      <c r="G38">
        <v>2045</v>
      </c>
      <c r="H38">
        <v>2050</v>
      </c>
      <c r="K38">
        <v>2025</v>
      </c>
      <c r="L38">
        <v>2030</v>
      </c>
      <c r="M38">
        <v>2035</v>
      </c>
      <c r="N38">
        <v>2040</v>
      </c>
      <c r="O38">
        <v>2045</v>
      </c>
      <c r="P38">
        <v>2050</v>
      </c>
    </row>
    <row r="39" spans="1:16" x14ac:dyDescent="0.35">
      <c r="A39" t="s">
        <v>58</v>
      </c>
      <c r="B39" s="7">
        <v>36.132374376506867</v>
      </c>
      <c r="C39" s="7">
        <v>60.499383897135196</v>
      </c>
      <c r="D39" s="7">
        <v>119.7432324793886</v>
      </c>
      <c r="E39" s="7">
        <v>57.422024246393804</v>
      </c>
      <c r="F39" s="7">
        <v>40.547815372497759</v>
      </c>
      <c r="G39" s="7">
        <v>145.21158412462864</v>
      </c>
      <c r="H39" s="7">
        <v>34.096216604870797</v>
      </c>
      <c r="J39" t="str">
        <f>A39</f>
        <v>Investment</v>
      </c>
      <c r="K39" s="7">
        <v>62.760976191503069</v>
      </c>
      <c r="L39" s="7">
        <v>31.674063603910081</v>
      </c>
      <c r="M39" s="7">
        <v>22.334520161131465</v>
      </c>
      <c r="N39" s="7">
        <v>35.689968649987946</v>
      </c>
      <c r="O39" s="7">
        <v>35.784187350384698</v>
      </c>
      <c r="P39" s="7">
        <v>20.62618321638314</v>
      </c>
    </row>
    <row r="40" spans="1:16" x14ac:dyDescent="0.35">
      <c r="A40" t="s">
        <v>59</v>
      </c>
      <c r="B40" s="7">
        <v>51.365497196101074</v>
      </c>
      <c r="C40" s="7">
        <v>70.108676039568465</v>
      </c>
      <c r="D40" s="7">
        <v>47.693986848194108</v>
      </c>
      <c r="E40" s="7">
        <v>35.932371365013367</v>
      </c>
      <c r="F40" s="7">
        <v>29.196941357108727</v>
      </c>
      <c r="G40" s="7">
        <v>15.723622265088171</v>
      </c>
      <c r="H40" s="7">
        <v>18.106805332973135</v>
      </c>
      <c r="J40" t="str">
        <f t="shared" ref="J40:J43" si="17">A40</f>
        <v>Fuel</v>
      </c>
      <c r="K40" s="7">
        <v>64.050363586780904</v>
      </c>
      <c r="L40" s="7">
        <v>60.135717911661104</v>
      </c>
      <c r="M40" s="7">
        <v>60.289207124686072</v>
      </c>
      <c r="N40" s="7">
        <v>60.80879804057323</v>
      </c>
      <c r="O40" s="7">
        <v>59.614206701484257</v>
      </c>
      <c r="P40" s="7">
        <v>59.859954612465181</v>
      </c>
    </row>
    <row r="41" spans="1:16" x14ac:dyDescent="0.35">
      <c r="A41" t="s">
        <v>60</v>
      </c>
      <c r="B41" s="7">
        <v>8.202899304865328</v>
      </c>
      <c r="C41" s="7">
        <v>8.2931928873993908</v>
      </c>
      <c r="D41" s="7">
        <v>7.9753508224909986</v>
      </c>
      <c r="E41" s="7">
        <v>6.5946727753728922</v>
      </c>
      <c r="F41" s="7">
        <v>6.0955458873678579</v>
      </c>
      <c r="G41" s="7">
        <v>2.5418162732431506</v>
      </c>
      <c r="H41" s="7">
        <v>3.0795601978377025</v>
      </c>
      <c r="J41" t="str">
        <f t="shared" si="17"/>
        <v>VOM</v>
      </c>
      <c r="K41" s="7">
        <v>8.0336006586680924</v>
      </c>
      <c r="L41" s="7">
        <v>8.3598853558700252</v>
      </c>
      <c r="M41" s="7">
        <v>8.784790596246415</v>
      </c>
      <c r="N41" s="7">
        <v>9.7272286927062144</v>
      </c>
      <c r="O41" s="7">
        <v>11.289659488926439</v>
      </c>
      <c r="P41" s="7">
        <v>11.992117933234711</v>
      </c>
    </row>
    <row r="42" spans="1:16" x14ac:dyDescent="0.35">
      <c r="A42" t="s">
        <v>61</v>
      </c>
      <c r="B42" s="7">
        <v>63.133870259560844</v>
      </c>
      <c r="C42" s="7">
        <v>62.574377502325973</v>
      </c>
      <c r="D42" s="7">
        <v>68.808926604760401</v>
      </c>
      <c r="E42" s="7">
        <v>67.742181497234128</v>
      </c>
      <c r="F42" s="7">
        <v>68.98935109512513</v>
      </c>
      <c r="G42" s="7">
        <v>62.947701294467244</v>
      </c>
      <c r="H42" s="7">
        <v>64.554739634550629</v>
      </c>
      <c r="J42" t="str">
        <f t="shared" si="17"/>
        <v>FOM</v>
      </c>
      <c r="K42" s="7">
        <v>61.646942941705554</v>
      </c>
      <c r="L42" s="7">
        <v>62.073069471436355</v>
      </c>
      <c r="M42" s="7">
        <v>63.432514412723556</v>
      </c>
      <c r="N42" s="7">
        <v>63.777562108921465</v>
      </c>
      <c r="O42" s="7">
        <v>61.054682437359062</v>
      </c>
      <c r="P42" s="7">
        <v>60.625937914526162</v>
      </c>
    </row>
    <row r="43" spans="1:16" x14ac:dyDescent="0.35">
      <c r="A43" t="s">
        <v>62</v>
      </c>
      <c r="B43" s="7">
        <v>2.0176926232894159</v>
      </c>
      <c r="C43" s="7">
        <v>2.9916300554219428</v>
      </c>
      <c r="D43" s="7">
        <v>2.6523280096102289</v>
      </c>
      <c r="E43" s="7">
        <v>2.7975999482446992</v>
      </c>
      <c r="F43" s="7">
        <v>3.877406166387956</v>
      </c>
      <c r="G43" s="7">
        <v>5.1651069775070404</v>
      </c>
      <c r="H43" s="7">
        <v>4.0824107976969941</v>
      </c>
      <c r="J43" t="str">
        <f t="shared" si="17"/>
        <v>Other</v>
      </c>
      <c r="K43" s="7">
        <v>2.8642110606920586</v>
      </c>
      <c r="L43" s="7">
        <v>2.8105553944396169</v>
      </c>
      <c r="M43" s="7">
        <v>2.3266348740433855</v>
      </c>
      <c r="N43" s="7">
        <v>2.3221291946963434</v>
      </c>
      <c r="O43" s="7">
        <v>2.112894663826439</v>
      </c>
      <c r="P43" s="7">
        <v>2.0668797233897207</v>
      </c>
    </row>
  </sheetData>
  <pageMargins left="0.7" right="0.7" top="0.75" bottom="0.75" header="0.3" footer="0.3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39668-1C65-439A-B0E5-B2DA228D0011}">
  <sheetPr>
    <tabColor theme="9" tint="0.79998168889431442"/>
  </sheetPr>
  <dimension ref="A1:T91"/>
  <sheetViews>
    <sheetView zoomScale="70" zoomScaleNormal="70" workbookViewId="0">
      <selection activeCell="A2" sqref="A2"/>
    </sheetView>
  </sheetViews>
  <sheetFormatPr defaultRowHeight="14.5" x14ac:dyDescent="0.35"/>
  <sheetData>
    <row r="1" spans="1:20" x14ac:dyDescent="0.35">
      <c r="A1" s="10" t="s">
        <v>93</v>
      </c>
    </row>
    <row r="2" spans="1:20" x14ac:dyDescent="0.35">
      <c r="A2" s="10"/>
    </row>
    <row r="3" spans="1:20" x14ac:dyDescent="0.35">
      <c r="A3" t="s">
        <v>57</v>
      </c>
      <c r="L3" t="s">
        <v>63</v>
      </c>
    </row>
    <row r="4" spans="1:20" x14ac:dyDescent="0.35">
      <c r="A4" s="10"/>
    </row>
    <row r="5" spans="1:20" x14ac:dyDescent="0.35">
      <c r="A5" s="10"/>
      <c r="C5" s="8"/>
      <c r="D5" s="8">
        <f>D8</f>
        <v>2020</v>
      </c>
      <c r="E5" s="8">
        <f t="shared" ref="E5:J5" si="0">E8</f>
        <v>2025</v>
      </c>
      <c r="F5" s="8">
        <f t="shared" si="0"/>
        <v>2030</v>
      </c>
      <c r="G5" s="8">
        <f t="shared" si="0"/>
        <v>2035</v>
      </c>
      <c r="H5" s="8">
        <f t="shared" si="0"/>
        <v>2040</v>
      </c>
      <c r="I5" s="8">
        <f t="shared" si="0"/>
        <v>2045</v>
      </c>
      <c r="J5" s="8">
        <f t="shared" si="0"/>
        <v>2050</v>
      </c>
      <c r="N5" s="8"/>
      <c r="O5" s="8">
        <f t="shared" ref="O5:T5" si="1">O8</f>
        <v>2025</v>
      </c>
      <c r="P5" s="8">
        <f t="shared" si="1"/>
        <v>2030</v>
      </c>
      <c r="Q5" s="8">
        <f t="shared" si="1"/>
        <v>2035</v>
      </c>
      <c r="R5" s="8">
        <f t="shared" si="1"/>
        <v>2040</v>
      </c>
      <c r="S5" s="8">
        <f t="shared" si="1"/>
        <v>2045</v>
      </c>
      <c r="T5" s="8">
        <f t="shared" si="1"/>
        <v>2050</v>
      </c>
    </row>
    <row r="6" spans="1:20" x14ac:dyDescent="0.35">
      <c r="A6" s="10"/>
      <c r="C6" s="8" t="s">
        <v>88</v>
      </c>
      <c r="D6" s="11">
        <f>D9*'Economy - IRA'!$B$27</f>
        <v>53.129964800672461</v>
      </c>
      <c r="E6" s="11">
        <f>E9*'Economy - IRA'!$B$27</f>
        <v>41.346088385177111</v>
      </c>
      <c r="F6" s="11">
        <f>F9*'Economy - IRA'!$B$27</f>
        <v>39.175056906375517</v>
      </c>
      <c r="G6" s="11">
        <f>G9*'Economy - IRA'!$B$27</f>
        <v>58.883198219496677</v>
      </c>
      <c r="H6" s="11">
        <f>H9*'Economy - IRA'!$B$27</f>
        <v>60.197878392771003</v>
      </c>
      <c r="I6" s="11">
        <f>I9*'Economy - IRA'!$B$27</f>
        <v>62.984035457233063</v>
      </c>
      <c r="J6" s="11">
        <f>J9*'Economy - IRA'!$B$27</f>
        <v>65.179189508021352</v>
      </c>
      <c r="N6" s="8" t="s">
        <v>88</v>
      </c>
      <c r="O6" s="11">
        <f>O9*'Economy - IRA'!$B$27</f>
        <v>57.64088576218245</v>
      </c>
      <c r="P6" s="11">
        <f>P9*'Economy - IRA'!$B$27</f>
        <v>56.953392460561929</v>
      </c>
      <c r="Q6" s="11">
        <f>Q9*'Economy - IRA'!$B$27</f>
        <v>58.654033785623191</v>
      </c>
      <c r="R6" s="11">
        <f>R9*'Economy - IRA'!$B$27</f>
        <v>60.041081674857566</v>
      </c>
      <c r="S6" s="11">
        <f>S9*'Economy - IRA'!$B$27</f>
        <v>62.984035457233063</v>
      </c>
      <c r="T6" s="11">
        <f>T9*'Economy - IRA'!$B$27</f>
        <v>65.239495937988067</v>
      </c>
    </row>
    <row r="8" spans="1:20" x14ac:dyDescent="0.35">
      <c r="D8" s="1">
        <f>D11</f>
        <v>2020</v>
      </c>
      <c r="E8" s="1">
        <f t="shared" ref="E8:J8" si="2">E11</f>
        <v>2025</v>
      </c>
      <c r="F8" s="1">
        <f t="shared" si="2"/>
        <v>2030</v>
      </c>
      <c r="G8" s="1">
        <f t="shared" si="2"/>
        <v>2035</v>
      </c>
      <c r="H8" s="1">
        <f t="shared" si="2"/>
        <v>2040</v>
      </c>
      <c r="I8" s="1">
        <f t="shared" si="2"/>
        <v>2045</v>
      </c>
      <c r="J8" s="1">
        <f t="shared" si="2"/>
        <v>2050</v>
      </c>
      <c r="O8" s="1">
        <f t="shared" ref="O8:T8" si="3">O11</f>
        <v>2025</v>
      </c>
      <c r="P8" s="1">
        <f t="shared" si="3"/>
        <v>2030</v>
      </c>
      <c r="Q8" s="1">
        <f t="shared" si="3"/>
        <v>2035</v>
      </c>
      <c r="R8" s="1">
        <f t="shared" si="3"/>
        <v>2040</v>
      </c>
      <c r="S8" s="1">
        <f t="shared" si="3"/>
        <v>2045</v>
      </c>
      <c r="T8" s="1">
        <f t="shared" si="3"/>
        <v>2050</v>
      </c>
    </row>
    <row r="9" spans="1:20" x14ac:dyDescent="0.35">
      <c r="A9" t="s">
        <v>87</v>
      </c>
      <c r="C9" t="s">
        <v>89</v>
      </c>
      <c r="D9" s="1">
        <f>SUM(D12:D75)</f>
        <v>44.05</v>
      </c>
      <c r="E9" s="1">
        <f t="shared" ref="E9:J9" si="4">SUM(E12:E75)</f>
        <v>34.279999999999994</v>
      </c>
      <c r="F9" s="1">
        <f t="shared" si="4"/>
        <v>32.479999999999997</v>
      </c>
      <c r="G9" s="1">
        <f t="shared" si="4"/>
        <v>48.819999999999979</v>
      </c>
      <c r="H9" s="1">
        <f t="shared" si="4"/>
        <v>49.91</v>
      </c>
      <c r="I9" s="1">
        <f t="shared" si="4"/>
        <v>52.220000000000006</v>
      </c>
      <c r="J9" s="1">
        <f t="shared" si="4"/>
        <v>54.040000000000013</v>
      </c>
      <c r="L9" t="s">
        <v>87</v>
      </c>
      <c r="N9" t="s">
        <v>89</v>
      </c>
      <c r="O9" s="1">
        <f t="shared" ref="O9:T9" si="5">SUM(O12:O75)</f>
        <v>47.79</v>
      </c>
      <c r="P9" s="1">
        <f t="shared" si="5"/>
        <v>47.219999999999985</v>
      </c>
      <c r="Q9" s="1">
        <f t="shared" si="5"/>
        <v>48.629999999999995</v>
      </c>
      <c r="R9" s="1">
        <f t="shared" si="5"/>
        <v>49.780000000000008</v>
      </c>
      <c r="S9" s="1">
        <f t="shared" si="5"/>
        <v>52.220000000000006</v>
      </c>
      <c r="T9" s="1">
        <f t="shared" si="5"/>
        <v>54.090000000000011</v>
      </c>
    </row>
    <row r="11" spans="1:20" x14ac:dyDescent="0.35">
      <c r="D11">
        <v>2020</v>
      </c>
      <c r="E11">
        <v>2025</v>
      </c>
      <c r="F11">
        <v>2030</v>
      </c>
      <c r="G11">
        <v>2035</v>
      </c>
      <c r="H11">
        <v>2040</v>
      </c>
      <c r="I11">
        <v>2045</v>
      </c>
      <c r="J11">
        <v>2050</v>
      </c>
      <c r="O11">
        <v>2025</v>
      </c>
      <c r="P11">
        <v>2030</v>
      </c>
      <c r="Q11">
        <v>2035</v>
      </c>
      <c r="R11">
        <v>2040</v>
      </c>
      <c r="S11">
        <v>2045</v>
      </c>
      <c r="T11">
        <v>2050</v>
      </c>
    </row>
    <row r="12" spans="1:20" x14ac:dyDescent="0.35">
      <c r="A12" t="s">
        <v>65</v>
      </c>
      <c r="B12" t="s">
        <v>66</v>
      </c>
      <c r="C12" t="s">
        <v>67</v>
      </c>
      <c r="D12">
        <v>0.34</v>
      </c>
      <c r="E12">
        <v>0.3</v>
      </c>
      <c r="F12">
        <v>0.26</v>
      </c>
      <c r="G12">
        <v>0.34</v>
      </c>
      <c r="H12">
        <v>0.34</v>
      </c>
      <c r="I12">
        <v>0.33</v>
      </c>
      <c r="J12">
        <v>0.32</v>
      </c>
      <c r="L12" t="s">
        <v>65</v>
      </c>
      <c r="M12" t="s">
        <v>66</v>
      </c>
      <c r="N12" t="s">
        <v>67</v>
      </c>
      <c r="O12">
        <v>0.33</v>
      </c>
      <c r="P12">
        <v>0.31</v>
      </c>
      <c r="Q12">
        <v>0.33</v>
      </c>
      <c r="R12">
        <v>0.34</v>
      </c>
      <c r="S12">
        <v>0.33</v>
      </c>
      <c r="T12">
        <v>0.31</v>
      </c>
    </row>
    <row r="13" spans="1:20" x14ac:dyDescent="0.35">
      <c r="A13" t="s">
        <v>65</v>
      </c>
      <c r="B13" t="s">
        <v>66</v>
      </c>
      <c r="C13" t="s">
        <v>68</v>
      </c>
      <c r="D13">
        <v>0.43</v>
      </c>
      <c r="E13">
        <v>0.39</v>
      </c>
      <c r="F13">
        <v>0.34</v>
      </c>
      <c r="G13">
        <v>0.42</v>
      </c>
      <c r="H13">
        <v>0.42</v>
      </c>
      <c r="I13">
        <v>0.42</v>
      </c>
      <c r="J13">
        <v>0.41</v>
      </c>
      <c r="L13" t="s">
        <v>65</v>
      </c>
      <c r="M13" t="s">
        <v>66</v>
      </c>
      <c r="N13" t="s">
        <v>68</v>
      </c>
      <c r="O13">
        <v>0.43</v>
      </c>
      <c r="P13">
        <v>0.38</v>
      </c>
      <c r="Q13">
        <v>0.42</v>
      </c>
      <c r="R13">
        <v>0.42</v>
      </c>
      <c r="S13">
        <v>0.41</v>
      </c>
      <c r="T13">
        <v>0.4</v>
      </c>
    </row>
    <row r="14" spans="1:20" x14ac:dyDescent="0.35">
      <c r="A14" t="s">
        <v>65</v>
      </c>
      <c r="B14" t="s">
        <v>66</v>
      </c>
      <c r="C14" t="s">
        <v>69</v>
      </c>
      <c r="D14">
        <v>0.69</v>
      </c>
      <c r="E14">
        <v>0.59</v>
      </c>
      <c r="F14">
        <v>0.51</v>
      </c>
      <c r="G14">
        <v>0.72</v>
      </c>
      <c r="H14">
        <v>0.73</v>
      </c>
      <c r="I14">
        <v>0.71</v>
      </c>
      <c r="J14">
        <v>0.68</v>
      </c>
      <c r="L14" t="s">
        <v>65</v>
      </c>
      <c r="M14" t="s">
        <v>66</v>
      </c>
      <c r="N14" t="s">
        <v>69</v>
      </c>
      <c r="O14">
        <v>0.69</v>
      </c>
      <c r="P14">
        <v>0.65</v>
      </c>
      <c r="Q14">
        <v>0.71</v>
      </c>
      <c r="R14">
        <v>0.72</v>
      </c>
      <c r="S14">
        <v>0.7</v>
      </c>
      <c r="T14">
        <v>0.68</v>
      </c>
    </row>
    <row r="15" spans="1:20" x14ac:dyDescent="0.35">
      <c r="A15" t="s">
        <v>65</v>
      </c>
      <c r="B15" t="s">
        <v>66</v>
      </c>
      <c r="C15" t="s">
        <v>70</v>
      </c>
      <c r="D15">
        <v>0.61</v>
      </c>
      <c r="E15">
        <v>0.5</v>
      </c>
      <c r="F15">
        <v>0.45</v>
      </c>
      <c r="G15">
        <v>0.72</v>
      </c>
      <c r="H15">
        <v>0.74</v>
      </c>
      <c r="I15">
        <v>0.73</v>
      </c>
      <c r="J15">
        <v>0.71</v>
      </c>
      <c r="L15" t="s">
        <v>65</v>
      </c>
      <c r="M15" t="s">
        <v>66</v>
      </c>
      <c r="N15" t="s">
        <v>70</v>
      </c>
      <c r="O15">
        <v>0.64</v>
      </c>
      <c r="P15">
        <v>0.63</v>
      </c>
      <c r="Q15">
        <v>0.7</v>
      </c>
      <c r="R15">
        <v>0.72</v>
      </c>
      <c r="S15">
        <v>0.72</v>
      </c>
      <c r="T15">
        <v>0.7</v>
      </c>
    </row>
    <row r="16" spans="1:20" x14ac:dyDescent="0.35">
      <c r="A16" t="s">
        <v>65</v>
      </c>
      <c r="B16" t="s">
        <v>66</v>
      </c>
      <c r="C16" t="s">
        <v>71</v>
      </c>
      <c r="D16">
        <v>0.64</v>
      </c>
      <c r="E16">
        <v>0.51</v>
      </c>
      <c r="F16">
        <v>0.44</v>
      </c>
      <c r="G16">
        <v>0.71</v>
      </c>
      <c r="H16">
        <v>0.71</v>
      </c>
      <c r="I16">
        <v>0.69</v>
      </c>
      <c r="J16">
        <v>0.66</v>
      </c>
      <c r="L16" t="s">
        <v>65</v>
      </c>
      <c r="M16" t="s">
        <v>66</v>
      </c>
      <c r="N16" t="s">
        <v>71</v>
      </c>
      <c r="O16">
        <v>0.66</v>
      </c>
      <c r="P16">
        <v>0.63</v>
      </c>
      <c r="Q16">
        <v>0.69</v>
      </c>
      <c r="R16">
        <v>0.7</v>
      </c>
      <c r="S16">
        <v>0.68</v>
      </c>
      <c r="T16">
        <v>0.66</v>
      </c>
    </row>
    <row r="17" spans="1:20" x14ac:dyDescent="0.35">
      <c r="A17" t="s">
        <v>65</v>
      </c>
      <c r="B17" t="s">
        <v>66</v>
      </c>
      <c r="C17" t="s">
        <v>72</v>
      </c>
      <c r="D17">
        <v>0.56000000000000005</v>
      </c>
      <c r="E17">
        <v>0.44</v>
      </c>
      <c r="F17">
        <v>0.41</v>
      </c>
      <c r="G17">
        <v>0.7</v>
      </c>
      <c r="H17">
        <v>0.71</v>
      </c>
      <c r="I17">
        <v>0.69</v>
      </c>
      <c r="J17">
        <v>0.66</v>
      </c>
      <c r="L17" t="s">
        <v>65</v>
      </c>
      <c r="M17" t="s">
        <v>66</v>
      </c>
      <c r="N17" t="s">
        <v>72</v>
      </c>
      <c r="O17">
        <v>0.62</v>
      </c>
      <c r="P17">
        <v>0.63</v>
      </c>
      <c r="Q17">
        <v>0.68</v>
      </c>
      <c r="R17">
        <v>0.7</v>
      </c>
      <c r="S17">
        <v>0.68</v>
      </c>
      <c r="T17">
        <v>0.66</v>
      </c>
    </row>
    <row r="18" spans="1:20" x14ac:dyDescent="0.35">
      <c r="A18" t="s">
        <v>65</v>
      </c>
      <c r="B18" t="s">
        <v>66</v>
      </c>
      <c r="C18" t="s">
        <v>73</v>
      </c>
      <c r="D18">
        <v>0.44</v>
      </c>
      <c r="E18">
        <v>0.36</v>
      </c>
      <c r="F18">
        <v>0.3</v>
      </c>
      <c r="G18">
        <v>0.45</v>
      </c>
      <c r="H18">
        <v>0.45</v>
      </c>
      <c r="I18">
        <v>0.43</v>
      </c>
      <c r="J18">
        <v>0.4</v>
      </c>
      <c r="L18" t="s">
        <v>65</v>
      </c>
      <c r="M18" t="s">
        <v>66</v>
      </c>
      <c r="N18" t="s">
        <v>73</v>
      </c>
      <c r="O18">
        <v>0.43</v>
      </c>
      <c r="P18">
        <v>0.4</v>
      </c>
      <c r="Q18">
        <v>0.43</v>
      </c>
      <c r="R18">
        <v>0.44</v>
      </c>
      <c r="S18">
        <v>0.42</v>
      </c>
      <c r="T18">
        <v>0.4</v>
      </c>
    </row>
    <row r="19" spans="1:20" x14ac:dyDescent="0.35">
      <c r="A19" t="s">
        <v>65</v>
      </c>
      <c r="B19" t="s">
        <v>66</v>
      </c>
      <c r="C19" t="s">
        <v>74</v>
      </c>
      <c r="D19">
        <v>0.69</v>
      </c>
      <c r="E19">
        <v>0.57999999999999996</v>
      </c>
      <c r="F19">
        <v>0.5</v>
      </c>
      <c r="G19">
        <v>0.69</v>
      </c>
      <c r="H19">
        <v>0.69</v>
      </c>
      <c r="I19">
        <v>0.66</v>
      </c>
      <c r="J19">
        <v>0.62</v>
      </c>
      <c r="L19" t="s">
        <v>65</v>
      </c>
      <c r="M19" t="s">
        <v>66</v>
      </c>
      <c r="N19" t="s">
        <v>74</v>
      </c>
      <c r="O19">
        <v>0.68</v>
      </c>
      <c r="P19">
        <v>0.62</v>
      </c>
      <c r="Q19">
        <v>0.67</v>
      </c>
      <c r="R19">
        <v>0.67</v>
      </c>
      <c r="S19">
        <v>0.65</v>
      </c>
      <c r="T19">
        <v>0.62</v>
      </c>
    </row>
    <row r="20" spans="1:20" x14ac:dyDescent="0.35">
      <c r="A20" t="s">
        <v>65</v>
      </c>
      <c r="B20" t="s">
        <v>66</v>
      </c>
      <c r="C20" t="s">
        <v>75</v>
      </c>
      <c r="D20">
        <v>0.38</v>
      </c>
      <c r="E20">
        <v>0.32</v>
      </c>
      <c r="F20">
        <v>0.28000000000000003</v>
      </c>
      <c r="G20">
        <v>0.39</v>
      </c>
      <c r="H20">
        <v>0.4</v>
      </c>
      <c r="I20">
        <v>0.38</v>
      </c>
      <c r="J20">
        <v>0.36</v>
      </c>
      <c r="L20" t="s">
        <v>65</v>
      </c>
      <c r="M20" t="s">
        <v>66</v>
      </c>
      <c r="N20" t="s">
        <v>75</v>
      </c>
      <c r="O20">
        <v>0.37</v>
      </c>
      <c r="P20">
        <v>0.35</v>
      </c>
      <c r="Q20">
        <v>0.38</v>
      </c>
      <c r="R20">
        <v>0.39</v>
      </c>
      <c r="S20">
        <v>0.38</v>
      </c>
      <c r="T20">
        <v>0.36</v>
      </c>
    </row>
    <row r="21" spans="1:20" x14ac:dyDescent="0.35">
      <c r="A21" t="s">
        <v>65</v>
      </c>
      <c r="B21" t="s">
        <v>66</v>
      </c>
      <c r="C21" t="s">
        <v>76</v>
      </c>
      <c r="D21">
        <v>0.35</v>
      </c>
      <c r="E21">
        <v>0.28000000000000003</v>
      </c>
      <c r="F21">
        <v>0.24</v>
      </c>
      <c r="G21">
        <v>0.39</v>
      </c>
      <c r="H21">
        <v>0.39</v>
      </c>
      <c r="I21">
        <v>0.38</v>
      </c>
      <c r="J21">
        <v>0.36</v>
      </c>
      <c r="L21" t="s">
        <v>65</v>
      </c>
      <c r="M21" t="s">
        <v>66</v>
      </c>
      <c r="N21" t="s">
        <v>76</v>
      </c>
      <c r="O21">
        <v>0.36</v>
      </c>
      <c r="P21">
        <v>0.34</v>
      </c>
      <c r="Q21">
        <v>0.38</v>
      </c>
      <c r="R21">
        <v>0.38</v>
      </c>
      <c r="S21">
        <v>0.37</v>
      </c>
      <c r="T21">
        <v>0.36</v>
      </c>
    </row>
    <row r="22" spans="1:20" x14ac:dyDescent="0.35">
      <c r="A22" t="s">
        <v>65</v>
      </c>
      <c r="B22" t="s">
        <v>66</v>
      </c>
      <c r="C22" t="s">
        <v>77</v>
      </c>
      <c r="D22">
        <v>0.24</v>
      </c>
      <c r="E22">
        <v>0.2</v>
      </c>
      <c r="F22">
        <v>0.17</v>
      </c>
      <c r="G22">
        <v>0.26</v>
      </c>
      <c r="H22">
        <v>0.27</v>
      </c>
      <c r="I22">
        <v>0.26</v>
      </c>
      <c r="J22">
        <v>0.25</v>
      </c>
      <c r="L22" t="s">
        <v>65</v>
      </c>
      <c r="M22" t="s">
        <v>66</v>
      </c>
      <c r="N22" t="s">
        <v>77</v>
      </c>
      <c r="O22">
        <v>0.25</v>
      </c>
      <c r="P22">
        <v>0.23</v>
      </c>
      <c r="Q22">
        <v>0.26</v>
      </c>
      <c r="R22">
        <v>0.26</v>
      </c>
      <c r="S22">
        <v>0.25</v>
      </c>
      <c r="T22">
        <v>0.25</v>
      </c>
    </row>
    <row r="23" spans="1:20" x14ac:dyDescent="0.35">
      <c r="A23" t="s">
        <v>65</v>
      </c>
      <c r="B23" t="s">
        <v>66</v>
      </c>
      <c r="C23" t="s">
        <v>78</v>
      </c>
      <c r="D23">
        <v>0.65</v>
      </c>
      <c r="E23">
        <v>0.55000000000000004</v>
      </c>
      <c r="F23">
        <v>0.51</v>
      </c>
      <c r="G23">
        <v>0.79</v>
      </c>
      <c r="H23">
        <v>0.8</v>
      </c>
      <c r="I23">
        <v>0.8</v>
      </c>
      <c r="J23">
        <v>0.77</v>
      </c>
      <c r="L23" t="s">
        <v>65</v>
      </c>
      <c r="M23" t="s">
        <v>66</v>
      </c>
      <c r="N23" t="s">
        <v>78</v>
      </c>
      <c r="O23">
        <v>0.7</v>
      </c>
      <c r="P23">
        <v>0.7</v>
      </c>
      <c r="Q23">
        <v>0.77</v>
      </c>
      <c r="R23">
        <v>0.79</v>
      </c>
      <c r="S23">
        <v>0.79</v>
      </c>
      <c r="T23">
        <v>0.77</v>
      </c>
    </row>
    <row r="24" spans="1:20" x14ac:dyDescent="0.35">
      <c r="A24" t="s">
        <v>65</v>
      </c>
      <c r="B24" t="s">
        <v>66</v>
      </c>
      <c r="C24" t="s">
        <v>79</v>
      </c>
      <c r="D24">
        <v>0.23</v>
      </c>
      <c r="E24">
        <v>0.2</v>
      </c>
      <c r="F24">
        <v>0.19</v>
      </c>
      <c r="G24">
        <v>0.28000000000000003</v>
      </c>
      <c r="H24">
        <v>0.28999999999999998</v>
      </c>
      <c r="I24">
        <v>0.3</v>
      </c>
      <c r="J24">
        <v>0.3</v>
      </c>
      <c r="L24" t="s">
        <v>65</v>
      </c>
      <c r="M24" t="s">
        <v>66</v>
      </c>
      <c r="N24" t="s">
        <v>79</v>
      </c>
      <c r="O24">
        <v>0.24</v>
      </c>
      <c r="P24">
        <v>0.24</v>
      </c>
      <c r="Q24">
        <v>0.27</v>
      </c>
      <c r="R24">
        <v>0.28000000000000003</v>
      </c>
      <c r="S24">
        <v>0.28999999999999998</v>
      </c>
      <c r="T24">
        <v>0.3</v>
      </c>
    </row>
    <row r="25" spans="1:20" x14ac:dyDescent="0.35">
      <c r="A25" t="s">
        <v>65</v>
      </c>
      <c r="B25" t="s">
        <v>66</v>
      </c>
      <c r="C25" t="s">
        <v>80</v>
      </c>
      <c r="D25">
        <v>0.38</v>
      </c>
      <c r="E25">
        <v>0.33</v>
      </c>
      <c r="F25">
        <v>0.31</v>
      </c>
      <c r="G25">
        <v>0.49</v>
      </c>
      <c r="H25">
        <v>0.51</v>
      </c>
      <c r="I25">
        <v>0.52</v>
      </c>
      <c r="J25">
        <v>0.52</v>
      </c>
      <c r="L25" t="s">
        <v>65</v>
      </c>
      <c r="M25" t="s">
        <v>66</v>
      </c>
      <c r="N25" t="s">
        <v>80</v>
      </c>
      <c r="O25">
        <v>0.41</v>
      </c>
      <c r="P25">
        <v>0.42</v>
      </c>
      <c r="Q25">
        <v>0.47</v>
      </c>
      <c r="R25">
        <v>0.5</v>
      </c>
      <c r="S25">
        <v>0.51</v>
      </c>
      <c r="T25">
        <v>0.51</v>
      </c>
    </row>
    <row r="26" spans="1:20" x14ac:dyDescent="0.35">
      <c r="A26" t="s">
        <v>65</v>
      </c>
      <c r="B26" t="s">
        <v>66</v>
      </c>
      <c r="C26" t="s">
        <v>81</v>
      </c>
      <c r="D26">
        <v>0.28999999999999998</v>
      </c>
      <c r="E26">
        <v>0.24</v>
      </c>
      <c r="F26">
        <v>0.21</v>
      </c>
      <c r="G26">
        <v>0.34</v>
      </c>
      <c r="H26">
        <v>0.35</v>
      </c>
      <c r="I26">
        <v>0.34</v>
      </c>
      <c r="J26">
        <v>0.32</v>
      </c>
      <c r="L26" t="s">
        <v>65</v>
      </c>
      <c r="M26" t="s">
        <v>66</v>
      </c>
      <c r="N26" t="s">
        <v>81</v>
      </c>
      <c r="O26">
        <v>0.31</v>
      </c>
      <c r="P26">
        <v>0.31</v>
      </c>
      <c r="Q26">
        <v>0.33</v>
      </c>
      <c r="R26">
        <v>0.34</v>
      </c>
      <c r="S26">
        <v>0.33</v>
      </c>
      <c r="T26">
        <v>0.32</v>
      </c>
    </row>
    <row r="27" spans="1:20" x14ac:dyDescent="0.35">
      <c r="A27" t="s">
        <v>65</v>
      </c>
      <c r="B27" t="s">
        <v>66</v>
      </c>
      <c r="C27" t="s">
        <v>82</v>
      </c>
      <c r="D27">
        <v>0.84</v>
      </c>
      <c r="E27">
        <v>0.75</v>
      </c>
      <c r="F27">
        <v>0.68</v>
      </c>
      <c r="G27">
        <v>0.94</v>
      </c>
      <c r="H27">
        <v>0.96</v>
      </c>
      <c r="I27">
        <v>0.96</v>
      </c>
      <c r="J27">
        <v>0.94</v>
      </c>
      <c r="L27" t="s">
        <v>65</v>
      </c>
      <c r="M27" t="s">
        <v>66</v>
      </c>
      <c r="N27" t="s">
        <v>82</v>
      </c>
      <c r="O27">
        <v>0.86</v>
      </c>
      <c r="P27">
        <v>0.83</v>
      </c>
      <c r="Q27">
        <v>0.91</v>
      </c>
      <c r="R27">
        <v>0.93</v>
      </c>
      <c r="S27">
        <v>0.93</v>
      </c>
      <c r="T27">
        <v>0.93</v>
      </c>
    </row>
    <row r="28" spans="1:20" x14ac:dyDescent="0.35">
      <c r="A28" t="s">
        <v>65</v>
      </c>
      <c r="B28" t="s">
        <v>83</v>
      </c>
      <c r="C28" t="s">
        <v>67</v>
      </c>
      <c r="D28">
        <v>0.38</v>
      </c>
      <c r="E28">
        <v>0.28999999999999998</v>
      </c>
      <c r="F28">
        <v>0.26</v>
      </c>
      <c r="G28">
        <v>0.38</v>
      </c>
      <c r="H28">
        <v>0.39</v>
      </c>
      <c r="I28">
        <v>0.39</v>
      </c>
      <c r="J28">
        <v>0.39</v>
      </c>
      <c r="L28" t="s">
        <v>65</v>
      </c>
      <c r="M28" t="s">
        <v>83</v>
      </c>
      <c r="N28" t="s">
        <v>67</v>
      </c>
      <c r="O28">
        <v>0.38</v>
      </c>
      <c r="P28">
        <v>0.35</v>
      </c>
      <c r="Q28">
        <v>0.38</v>
      </c>
      <c r="R28">
        <v>0.39</v>
      </c>
      <c r="S28">
        <v>0.39</v>
      </c>
      <c r="T28">
        <v>0.39</v>
      </c>
    </row>
    <row r="29" spans="1:20" x14ac:dyDescent="0.35">
      <c r="A29" t="s">
        <v>65</v>
      </c>
      <c r="B29" t="s">
        <v>83</v>
      </c>
      <c r="C29" t="s">
        <v>68</v>
      </c>
      <c r="D29">
        <v>0.39</v>
      </c>
      <c r="E29">
        <v>0.31</v>
      </c>
      <c r="F29">
        <v>0.28000000000000003</v>
      </c>
      <c r="G29">
        <v>0.37</v>
      </c>
      <c r="H29">
        <v>0.38</v>
      </c>
      <c r="I29">
        <v>0.38</v>
      </c>
      <c r="J29">
        <v>0.39</v>
      </c>
      <c r="L29" t="s">
        <v>65</v>
      </c>
      <c r="M29" t="s">
        <v>83</v>
      </c>
      <c r="N29" t="s">
        <v>68</v>
      </c>
      <c r="O29">
        <v>0.39</v>
      </c>
      <c r="P29">
        <v>0.35</v>
      </c>
      <c r="Q29">
        <v>0.38</v>
      </c>
      <c r="R29">
        <v>0.39</v>
      </c>
      <c r="S29">
        <v>0.39</v>
      </c>
      <c r="T29">
        <v>0.39</v>
      </c>
    </row>
    <row r="30" spans="1:20" x14ac:dyDescent="0.35">
      <c r="A30" t="s">
        <v>65</v>
      </c>
      <c r="B30" t="s">
        <v>83</v>
      </c>
      <c r="C30" t="s">
        <v>69</v>
      </c>
      <c r="D30">
        <v>0.84</v>
      </c>
      <c r="E30">
        <v>0.62</v>
      </c>
      <c r="F30">
        <v>0.56999999999999995</v>
      </c>
      <c r="G30">
        <v>0.84</v>
      </c>
      <c r="H30">
        <v>0.87</v>
      </c>
      <c r="I30">
        <v>0.88</v>
      </c>
      <c r="J30">
        <v>0.9</v>
      </c>
      <c r="L30" t="s">
        <v>65</v>
      </c>
      <c r="M30" t="s">
        <v>83</v>
      </c>
      <c r="N30" t="s">
        <v>69</v>
      </c>
      <c r="O30">
        <v>0.84</v>
      </c>
      <c r="P30">
        <v>0.78</v>
      </c>
      <c r="Q30">
        <v>0.85</v>
      </c>
      <c r="R30">
        <v>0.88</v>
      </c>
      <c r="S30">
        <v>0.89</v>
      </c>
      <c r="T30">
        <v>0.91</v>
      </c>
    </row>
    <row r="31" spans="1:20" x14ac:dyDescent="0.35">
      <c r="A31" t="s">
        <v>65</v>
      </c>
      <c r="B31" t="s">
        <v>83</v>
      </c>
      <c r="C31" t="s">
        <v>70</v>
      </c>
      <c r="D31">
        <v>0.76</v>
      </c>
      <c r="E31">
        <v>0.53</v>
      </c>
      <c r="F31">
        <v>0.52</v>
      </c>
      <c r="G31">
        <v>0.86</v>
      </c>
      <c r="H31">
        <v>0.91</v>
      </c>
      <c r="I31">
        <v>0.95</v>
      </c>
      <c r="J31">
        <v>1</v>
      </c>
      <c r="L31" t="s">
        <v>65</v>
      </c>
      <c r="M31" t="s">
        <v>83</v>
      </c>
      <c r="N31" t="s">
        <v>70</v>
      </c>
      <c r="O31">
        <v>0.79</v>
      </c>
      <c r="P31">
        <v>0.77</v>
      </c>
      <c r="Q31">
        <v>0.87</v>
      </c>
      <c r="R31">
        <v>0.93</v>
      </c>
      <c r="S31">
        <v>0.97</v>
      </c>
      <c r="T31">
        <v>1.02</v>
      </c>
    </row>
    <row r="32" spans="1:20" x14ac:dyDescent="0.35">
      <c r="A32" t="s">
        <v>65</v>
      </c>
      <c r="B32" t="s">
        <v>83</v>
      </c>
      <c r="C32" t="s">
        <v>71</v>
      </c>
      <c r="D32">
        <v>0.78</v>
      </c>
      <c r="E32">
        <v>0.53</v>
      </c>
      <c r="F32">
        <v>0.51</v>
      </c>
      <c r="G32">
        <v>0.83</v>
      </c>
      <c r="H32">
        <v>0.87</v>
      </c>
      <c r="I32">
        <v>0.9</v>
      </c>
      <c r="J32">
        <v>0.93</v>
      </c>
      <c r="L32" t="s">
        <v>65</v>
      </c>
      <c r="M32" t="s">
        <v>83</v>
      </c>
      <c r="N32" t="s">
        <v>71</v>
      </c>
      <c r="O32">
        <v>0.8</v>
      </c>
      <c r="P32">
        <v>0.76</v>
      </c>
      <c r="Q32">
        <v>0.85</v>
      </c>
      <c r="R32">
        <v>0.89</v>
      </c>
      <c r="S32">
        <v>0.91</v>
      </c>
      <c r="T32">
        <v>0.94</v>
      </c>
    </row>
    <row r="33" spans="1:20" x14ac:dyDescent="0.35">
      <c r="A33" t="s">
        <v>65</v>
      </c>
      <c r="B33" t="s">
        <v>83</v>
      </c>
      <c r="C33" t="s">
        <v>72</v>
      </c>
      <c r="D33">
        <v>0.63</v>
      </c>
      <c r="E33">
        <v>0.45</v>
      </c>
      <c r="F33">
        <v>0.45</v>
      </c>
      <c r="G33">
        <v>0.74</v>
      </c>
      <c r="H33">
        <v>0.79</v>
      </c>
      <c r="I33">
        <v>0.83</v>
      </c>
      <c r="J33">
        <v>0.87</v>
      </c>
      <c r="L33" t="s">
        <v>65</v>
      </c>
      <c r="M33" t="s">
        <v>83</v>
      </c>
      <c r="N33" t="s">
        <v>72</v>
      </c>
      <c r="O33">
        <v>0.68</v>
      </c>
      <c r="P33">
        <v>0.68</v>
      </c>
      <c r="Q33">
        <v>0.75</v>
      </c>
      <c r="R33">
        <v>0.8</v>
      </c>
      <c r="S33">
        <v>0.84</v>
      </c>
      <c r="T33">
        <v>0.89</v>
      </c>
    </row>
    <row r="34" spans="1:20" x14ac:dyDescent="0.35">
      <c r="A34" t="s">
        <v>65</v>
      </c>
      <c r="B34" t="s">
        <v>83</v>
      </c>
      <c r="C34" t="s">
        <v>73</v>
      </c>
      <c r="D34">
        <v>0.56999999999999995</v>
      </c>
      <c r="E34">
        <v>0.39</v>
      </c>
      <c r="F34">
        <v>0.36</v>
      </c>
      <c r="G34">
        <v>0.55000000000000004</v>
      </c>
      <c r="H34">
        <v>0.56999999999999995</v>
      </c>
      <c r="I34">
        <v>0.56999999999999995</v>
      </c>
      <c r="J34">
        <v>0.57999999999999996</v>
      </c>
      <c r="L34" t="s">
        <v>65</v>
      </c>
      <c r="M34" t="s">
        <v>83</v>
      </c>
      <c r="N34" t="s">
        <v>73</v>
      </c>
      <c r="O34">
        <v>0.56000000000000005</v>
      </c>
      <c r="P34">
        <v>0.51</v>
      </c>
      <c r="Q34">
        <v>0.56000000000000005</v>
      </c>
      <c r="R34">
        <v>0.57999999999999996</v>
      </c>
      <c r="S34">
        <v>0.57999999999999996</v>
      </c>
      <c r="T34">
        <v>0.59</v>
      </c>
    </row>
    <row r="35" spans="1:20" x14ac:dyDescent="0.35">
      <c r="A35" t="s">
        <v>65</v>
      </c>
      <c r="B35" t="s">
        <v>83</v>
      </c>
      <c r="C35" t="s">
        <v>74</v>
      </c>
      <c r="D35">
        <v>0.85</v>
      </c>
      <c r="E35">
        <v>0.64</v>
      </c>
      <c r="F35">
        <v>0.56999999999999995</v>
      </c>
      <c r="G35">
        <v>0.81</v>
      </c>
      <c r="H35">
        <v>0.83</v>
      </c>
      <c r="I35">
        <v>0.82</v>
      </c>
      <c r="J35">
        <v>0.82</v>
      </c>
      <c r="L35" t="s">
        <v>65</v>
      </c>
      <c r="M35" t="s">
        <v>83</v>
      </c>
      <c r="N35" t="s">
        <v>74</v>
      </c>
      <c r="O35">
        <v>0.84</v>
      </c>
      <c r="P35">
        <v>0.76</v>
      </c>
      <c r="Q35">
        <v>0.82</v>
      </c>
      <c r="R35">
        <v>0.84</v>
      </c>
      <c r="S35">
        <v>0.83</v>
      </c>
      <c r="T35">
        <v>0.84</v>
      </c>
    </row>
    <row r="36" spans="1:20" x14ac:dyDescent="0.35">
      <c r="A36" t="s">
        <v>65</v>
      </c>
      <c r="B36" t="s">
        <v>83</v>
      </c>
      <c r="C36" t="s">
        <v>75</v>
      </c>
      <c r="D36">
        <v>0.47</v>
      </c>
      <c r="E36">
        <v>0.34</v>
      </c>
      <c r="F36">
        <v>0.31</v>
      </c>
      <c r="G36">
        <v>0.47</v>
      </c>
      <c r="H36">
        <v>0.48</v>
      </c>
      <c r="I36">
        <v>0.48</v>
      </c>
      <c r="J36">
        <v>0.49</v>
      </c>
      <c r="L36" t="s">
        <v>65</v>
      </c>
      <c r="M36" t="s">
        <v>83</v>
      </c>
      <c r="N36" t="s">
        <v>75</v>
      </c>
      <c r="O36">
        <v>0.48</v>
      </c>
      <c r="P36">
        <v>0.44</v>
      </c>
      <c r="Q36">
        <v>0.48</v>
      </c>
      <c r="R36">
        <v>0.49</v>
      </c>
      <c r="S36">
        <v>0.5</v>
      </c>
      <c r="T36">
        <v>0.5</v>
      </c>
    </row>
    <row r="37" spans="1:20" x14ac:dyDescent="0.35">
      <c r="A37" t="s">
        <v>65</v>
      </c>
      <c r="B37" t="s">
        <v>83</v>
      </c>
      <c r="C37" t="s">
        <v>76</v>
      </c>
      <c r="D37">
        <v>0.44</v>
      </c>
      <c r="E37">
        <v>0.3</v>
      </c>
      <c r="F37">
        <v>0.28000000000000003</v>
      </c>
      <c r="G37">
        <v>0.46</v>
      </c>
      <c r="H37">
        <v>0.48</v>
      </c>
      <c r="I37">
        <v>0.49</v>
      </c>
      <c r="J37">
        <v>0.51</v>
      </c>
      <c r="L37" t="s">
        <v>65</v>
      </c>
      <c r="M37" t="s">
        <v>83</v>
      </c>
      <c r="N37" t="s">
        <v>76</v>
      </c>
      <c r="O37">
        <v>0.45</v>
      </c>
      <c r="P37">
        <v>0.42</v>
      </c>
      <c r="Q37">
        <v>0.47</v>
      </c>
      <c r="R37">
        <v>0.49</v>
      </c>
      <c r="S37">
        <v>0.5</v>
      </c>
      <c r="T37">
        <v>0.52</v>
      </c>
    </row>
    <row r="38" spans="1:20" x14ac:dyDescent="0.35">
      <c r="A38" t="s">
        <v>65</v>
      </c>
      <c r="B38" t="s">
        <v>83</v>
      </c>
      <c r="C38" t="s">
        <v>77</v>
      </c>
      <c r="D38">
        <v>0.3</v>
      </c>
      <c r="E38">
        <v>0.2</v>
      </c>
      <c r="F38">
        <v>0.19</v>
      </c>
      <c r="G38">
        <v>0.31</v>
      </c>
      <c r="H38">
        <v>0.32</v>
      </c>
      <c r="I38">
        <v>0.33</v>
      </c>
      <c r="J38">
        <v>0.34</v>
      </c>
      <c r="L38" t="s">
        <v>65</v>
      </c>
      <c r="M38" t="s">
        <v>83</v>
      </c>
      <c r="N38" t="s">
        <v>77</v>
      </c>
      <c r="O38">
        <v>0.3</v>
      </c>
      <c r="P38">
        <v>0.28000000000000003</v>
      </c>
      <c r="Q38">
        <v>0.32</v>
      </c>
      <c r="R38">
        <v>0.33</v>
      </c>
      <c r="S38">
        <v>0.34</v>
      </c>
      <c r="T38">
        <v>0.35</v>
      </c>
    </row>
    <row r="39" spans="1:20" x14ac:dyDescent="0.35">
      <c r="A39" t="s">
        <v>65</v>
      </c>
      <c r="B39" t="s">
        <v>83</v>
      </c>
      <c r="C39" t="s">
        <v>78</v>
      </c>
      <c r="D39">
        <v>0.77</v>
      </c>
      <c r="E39">
        <v>0.56000000000000005</v>
      </c>
      <c r="F39">
        <v>0.55000000000000004</v>
      </c>
      <c r="G39">
        <v>0.88</v>
      </c>
      <c r="H39">
        <v>0.93</v>
      </c>
      <c r="I39">
        <v>0.97</v>
      </c>
      <c r="J39">
        <v>1.02</v>
      </c>
      <c r="L39" t="s">
        <v>65</v>
      </c>
      <c r="M39" t="s">
        <v>83</v>
      </c>
      <c r="N39" t="s">
        <v>78</v>
      </c>
      <c r="O39">
        <v>0.81</v>
      </c>
      <c r="P39">
        <v>0.8</v>
      </c>
      <c r="Q39">
        <v>0.89</v>
      </c>
      <c r="R39">
        <v>0.94</v>
      </c>
      <c r="S39">
        <v>0.99</v>
      </c>
      <c r="T39">
        <v>1.03</v>
      </c>
    </row>
    <row r="40" spans="1:20" x14ac:dyDescent="0.35">
      <c r="A40" t="s">
        <v>65</v>
      </c>
      <c r="B40" t="s">
        <v>83</v>
      </c>
      <c r="C40" t="s">
        <v>79</v>
      </c>
      <c r="D40">
        <v>0.28999999999999998</v>
      </c>
      <c r="E40">
        <v>0.21</v>
      </c>
      <c r="F40">
        <v>0.21</v>
      </c>
      <c r="G40">
        <v>0.34</v>
      </c>
      <c r="H40">
        <v>0.37</v>
      </c>
      <c r="I40">
        <v>0.39</v>
      </c>
      <c r="J40">
        <v>0.42</v>
      </c>
      <c r="L40" t="s">
        <v>65</v>
      </c>
      <c r="M40" t="s">
        <v>83</v>
      </c>
      <c r="N40" t="s">
        <v>79</v>
      </c>
      <c r="O40">
        <v>0.3</v>
      </c>
      <c r="P40">
        <v>0.3</v>
      </c>
      <c r="Q40">
        <v>0.34</v>
      </c>
      <c r="R40">
        <v>0.37</v>
      </c>
      <c r="S40">
        <v>0.4</v>
      </c>
      <c r="T40">
        <v>0.43</v>
      </c>
    </row>
    <row r="41" spans="1:20" x14ac:dyDescent="0.35">
      <c r="A41" t="s">
        <v>65</v>
      </c>
      <c r="B41" t="s">
        <v>83</v>
      </c>
      <c r="C41" t="s">
        <v>80</v>
      </c>
      <c r="D41">
        <v>0.49</v>
      </c>
      <c r="E41">
        <v>0.37</v>
      </c>
      <c r="F41">
        <v>0.37</v>
      </c>
      <c r="G41">
        <v>0.59</v>
      </c>
      <c r="H41">
        <v>0.64</v>
      </c>
      <c r="I41">
        <v>0.68</v>
      </c>
      <c r="J41">
        <v>0.74</v>
      </c>
      <c r="L41" t="s">
        <v>65</v>
      </c>
      <c r="M41" t="s">
        <v>83</v>
      </c>
      <c r="N41" t="s">
        <v>80</v>
      </c>
      <c r="O41">
        <v>0.52</v>
      </c>
      <c r="P41">
        <v>0.53</v>
      </c>
      <c r="Q41">
        <v>0.6</v>
      </c>
      <c r="R41">
        <v>0.65</v>
      </c>
      <c r="S41">
        <v>0.7</v>
      </c>
      <c r="T41">
        <v>0.75</v>
      </c>
    </row>
    <row r="42" spans="1:20" x14ac:dyDescent="0.35">
      <c r="A42" t="s">
        <v>65</v>
      </c>
      <c r="B42" t="s">
        <v>83</v>
      </c>
      <c r="C42" t="s">
        <v>81</v>
      </c>
      <c r="D42">
        <v>0.34</v>
      </c>
      <c r="E42">
        <v>0.24</v>
      </c>
      <c r="F42">
        <v>0.23</v>
      </c>
      <c r="G42">
        <v>0.38</v>
      </c>
      <c r="H42">
        <v>0.4</v>
      </c>
      <c r="I42">
        <v>0.41</v>
      </c>
      <c r="J42">
        <v>0.43</v>
      </c>
      <c r="L42" t="s">
        <v>65</v>
      </c>
      <c r="M42" t="s">
        <v>83</v>
      </c>
      <c r="N42" t="s">
        <v>81</v>
      </c>
      <c r="O42">
        <v>0.36</v>
      </c>
      <c r="P42">
        <v>0.35</v>
      </c>
      <c r="Q42">
        <v>0.38</v>
      </c>
      <c r="R42">
        <v>0.4</v>
      </c>
      <c r="S42">
        <v>0.42</v>
      </c>
      <c r="T42">
        <v>0.43</v>
      </c>
    </row>
    <row r="43" spans="1:20" x14ac:dyDescent="0.35">
      <c r="A43" t="s">
        <v>65</v>
      </c>
      <c r="B43" t="s">
        <v>83</v>
      </c>
      <c r="C43" t="s">
        <v>82</v>
      </c>
      <c r="D43">
        <v>1</v>
      </c>
      <c r="E43">
        <v>0.83</v>
      </c>
      <c r="F43">
        <v>0.78</v>
      </c>
      <c r="G43">
        <v>1.06</v>
      </c>
      <c r="H43">
        <v>1.1100000000000001</v>
      </c>
      <c r="I43">
        <v>1.1399999999999999</v>
      </c>
      <c r="J43">
        <v>1.19</v>
      </c>
      <c r="L43" t="s">
        <v>65</v>
      </c>
      <c r="M43" t="s">
        <v>83</v>
      </c>
      <c r="N43" t="s">
        <v>82</v>
      </c>
      <c r="O43">
        <v>1.03</v>
      </c>
      <c r="P43">
        <v>0.98</v>
      </c>
      <c r="Q43">
        <v>1.08</v>
      </c>
      <c r="R43">
        <v>1.1399999999999999</v>
      </c>
      <c r="S43">
        <v>1.17</v>
      </c>
      <c r="T43">
        <v>1.21</v>
      </c>
    </row>
    <row r="44" spans="1:20" x14ac:dyDescent="0.35">
      <c r="A44" t="s">
        <v>65</v>
      </c>
      <c r="B44" t="s">
        <v>84</v>
      </c>
      <c r="C44" t="s">
        <v>67</v>
      </c>
      <c r="D44">
        <v>0.49</v>
      </c>
      <c r="E44">
        <v>0.38</v>
      </c>
      <c r="F44">
        <v>0.34</v>
      </c>
      <c r="G44">
        <v>0.47</v>
      </c>
      <c r="H44">
        <v>0.48</v>
      </c>
      <c r="I44">
        <v>0.47</v>
      </c>
      <c r="J44">
        <v>0.48</v>
      </c>
      <c r="L44" t="s">
        <v>65</v>
      </c>
      <c r="M44" t="s">
        <v>84</v>
      </c>
      <c r="N44" t="s">
        <v>67</v>
      </c>
      <c r="O44">
        <v>0.48</v>
      </c>
      <c r="P44">
        <v>0.44</v>
      </c>
      <c r="Q44">
        <v>0.47</v>
      </c>
      <c r="R44">
        <v>0.48</v>
      </c>
      <c r="S44">
        <v>0.48</v>
      </c>
      <c r="T44">
        <v>0.48</v>
      </c>
    </row>
    <row r="45" spans="1:20" x14ac:dyDescent="0.35">
      <c r="A45" t="s">
        <v>65</v>
      </c>
      <c r="B45" t="s">
        <v>84</v>
      </c>
      <c r="C45" t="s">
        <v>68</v>
      </c>
      <c r="D45">
        <v>0.64</v>
      </c>
      <c r="E45">
        <v>0.55000000000000004</v>
      </c>
      <c r="F45">
        <v>0.49</v>
      </c>
      <c r="G45">
        <v>0.61</v>
      </c>
      <c r="H45">
        <v>0.62</v>
      </c>
      <c r="I45">
        <v>0.62</v>
      </c>
      <c r="J45">
        <v>0.62</v>
      </c>
      <c r="L45" t="s">
        <v>65</v>
      </c>
      <c r="M45" t="s">
        <v>84</v>
      </c>
      <c r="N45" t="s">
        <v>68</v>
      </c>
      <c r="O45">
        <v>0.63</v>
      </c>
      <c r="P45">
        <v>0.56999999999999995</v>
      </c>
      <c r="Q45">
        <v>0.61</v>
      </c>
      <c r="R45">
        <v>0.62</v>
      </c>
      <c r="S45">
        <v>0.62</v>
      </c>
      <c r="T45">
        <v>0.63</v>
      </c>
    </row>
    <row r="46" spans="1:20" x14ac:dyDescent="0.35">
      <c r="A46" t="s">
        <v>65</v>
      </c>
      <c r="B46" t="s">
        <v>84</v>
      </c>
      <c r="C46" t="s">
        <v>69</v>
      </c>
      <c r="D46">
        <v>0.98</v>
      </c>
      <c r="E46">
        <v>0.74</v>
      </c>
      <c r="F46">
        <v>0.67</v>
      </c>
      <c r="G46">
        <v>0.96</v>
      </c>
      <c r="H46">
        <v>0.99</v>
      </c>
      <c r="I46">
        <v>1</v>
      </c>
      <c r="J46">
        <v>1.02</v>
      </c>
      <c r="L46" t="s">
        <v>65</v>
      </c>
      <c r="M46" t="s">
        <v>84</v>
      </c>
      <c r="N46" t="s">
        <v>69</v>
      </c>
      <c r="O46">
        <v>0.97</v>
      </c>
      <c r="P46">
        <v>0.89</v>
      </c>
      <c r="Q46">
        <v>0.97</v>
      </c>
      <c r="R46">
        <v>1</v>
      </c>
      <c r="S46">
        <v>1.01</v>
      </c>
      <c r="T46">
        <v>1.03</v>
      </c>
    </row>
    <row r="47" spans="1:20" x14ac:dyDescent="0.35">
      <c r="A47" t="s">
        <v>65</v>
      </c>
      <c r="B47" t="s">
        <v>84</v>
      </c>
      <c r="C47" t="s">
        <v>70</v>
      </c>
      <c r="D47">
        <v>0.81</v>
      </c>
      <c r="E47">
        <v>0.56999999999999995</v>
      </c>
      <c r="F47">
        <v>0.55000000000000004</v>
      </c>
      <c r="G47">
        <v>0.9</v>
      </c>
      <c r="H47">
        <v>0.95</v>
      </c>
      <c r="I47">
        <v>0.99</v>
      </c>
      <c r="J47">
        <v>1.04</v>
      </c>
      <c r="L47" t="s">
        <v>65</v>
      </c>
      <c r="M47" t="s">
        <v>84</v>
      </c>
      <c r="N47" t="s">
        <v>70</v>
      </c>
      <c r="O47">
        <v>0.84</v>
      </c>
      <c r="P47">
        <v>0.81</v>
      </c>
      <c r="Q47">
        <v>0.9</v>
      </c>
      <c r="R47">
        <v>0.96</v>
      </c>
      <c r="S47">
        <v>1</v>
      </c>
      <c r="T47">
        <v>1.05</v>
      </c>
    </row>
    <row r="48" spans="1:20" x14ac:dyDescent="0.35">
      <c r="A48" t="s">
        <v>65</v>
      </c>
      <c r="B48" t="s">
        <v>84</v>
      </c>
      <c r="C48" t="s">
        <v>71</v>
      </c>
      <c r="D48">
        <v>0.83</v>
      </c>
      <c r="E48">
        <v>0.57999999999999996</v>
      </c>
      <c r="F48">
        <v>0.54</v>
      </c>
      <c r="G48">
        <v>0.86</v>
      </c>
      <c r="H48">
        <v>0.9</v>
      </c>
      <c r="I48">
        <v>0.93</v>
      </c>
      <c r="J48">
        <v>0.96</v>
      </c>
      <c r="L48" t="s">
        <v>65</v>
      </c>
      <c r="M48" t="s">
        <v>84</v>
      </c>
      <c r="N48" t="s">
        <v>71</v>
      </c>
      <c r="O48">
        <v>0.84</v>
      </c>
      <c r="P48">
        <v>0.79</v>
      </c>
      <c r="Q48">
        <v>0.87</v>
      </c>
      <c r="R48">
        <v>0.91</v>
      </c>
      <c r="S48">
        <v>0.93</v>
      </c>
      <c r="T48">
        <v>0.96</v>
      </c>
    </row>
    <row r="49" spans="1:20" x14ac:dyDescent="0.35">
      <c r="A49" t="s">
        <v>65</v>
      </c>
      <c r="B49" t="s">
        <v>84</v>
      </c>
      <c r="C49" t="s">
        <v>72</v>
      </c>
      <c r="D49">
        <v>0.7</v>
      </c>
      <c r="E49">
        <v>0.48</v>
      </c>
      <c r="F49">
        <v>0.48</v>
      </c>
      <c r="G49">
        <v>0.81</v>
      </c>
      <c r="H49">
        <v>0.87</v>
      </c>
      <c r="I49">
        <v>0.91</v>
      </c>
      <c r="J49">
        <v>0.95</v>
      </c>
      <c r="L49" t="s">
        <v>65</v>
      </c>
      <c r="M49" t="s">
        <v>84</v>
      </c>
      <c r="N49" t="s">
        <v>72</v>
      </c>
      <c r="O49">
        <v>0.74</v>
      </c>
      <c r="P49">
        <v>0.74</v>
      </c>
      <c r="Q49">
        <v>0.82</v>
      </c>
      <c r="R49">
        <v>0.87</v>
      </c>
      <c r="S49">
        <v>0.91</v>
      </c>
      <c r="T49">
        <v>0.96</v>
      </c>
    </row>
    <row r="50" spans="1:20" x14ac:dyDescent="0.35">
      <c r="A50" t="s">
        <v>65</v>
      </c>
      <c r="B50" t="s">
        <v>84</v>
      </c>
      <c r="C50" t="s">
        <v>73</v>
      </c>
      <c r="D50">
        <v>0.6</v>
      </c>
      <c r="E50">
        <v>0.43</v>
      </c>
      <c r="F50">
        <v>0.39</v>
      </c>
      <c r="G50">
        <v>0.57999999999999996</v>
      </c>
      <c r="H50">
        <v>0.6</v>
      </c>
      <c r="I50">
        <v>0.59</v>
      </c>
      <c r="J50">
        <v>0.6</v>
      </c>
      <c r="L50" t="s">
        <v>65</v>
      </c>
      <c r="M50" t="s">
        <v>84</v>
      </c>
      <c r="N50" t="s">
        <v>73</v>
      </c>
      <c r="O50">
        <v>0.6</v>
      </c>
      <c r="P50">
        <v>0.54</v>
      </c>
      <c r="Q50">
        <v>0.57999999999999996</v>
      </c>
      <c r="R50">
        <v>0.6</v>
      </c>
      <c r="S50">
        <v>0.6</v>
      </c>
      <c r="T50">
        <v>0.61</v>
      </c>
    </row>
    <row r="51" spans="1:20" x14ac:dyDescent="0.35">
      <c r="A51" t="s">
        <v>65</v>
      </c>
      <c r="B51" t="s">
        <v>84</v>
      </c>
      <c r="C51" t="s">
        <v>74</v>
      </c>
      <c r="D51">
        <v>0.96</v>
      </c>
      <c r="E51">
        <v>0.74</v>
      </c>
      <c r="F51">
        <v>0.65</v>
      </c>
      <c r="G51">
        <v>0.91</v>
      </c>
      <c r="H51">
        <v>0.93</v>
      </c>
      <c r="I51">
        <v>0.92</v>
      </c>
      <c r="J51">
        <v>0.92</v>
      </c>
      <c r="L51" t="s">
        <v>65</v>
      </c>
      <c r="M51" t="s">
        <v>84</v>
      </c>
      <c r="N51" t="s">
        <v>74</v>
      </c>
      <c r="O51">
        <v>0.95</v>
      </c>
      <c r="P51">
        <v>0.85</v>
      </c>
      <c r="Q51">
        <v>0.92</v>
      </c>
      <c r="R51">
        <v>0.94</v>
      </c>
      <c r="S51">
        <v>0.93</v>
      </c>
      <c r="T51">
        <v>0.93</v>
      </c>
    </row>
    <row r="52" spans="1:20" x14ac:dyDescent="0.35">
      <c r="A52" t="s">
        <v>65</v>
      </c>
      <c r="B52" t="s">
        <v>84</v>
      </c>
      <c r="C52" t="s">
        <v>75</v>
      </c>
      <c r="D52">
        <v>0.53</v>
      </c>
      <c r="E52">
        <v>0.4</v>
      </c>
      <c r="F52">
        <v>0.36</v>
      </c>
      <c r="G52">
        <v>0.52</v>
      </c>
      <c r="H52">
        <v>0.54</v>
      </c>
      <c r="I52">
        <v>0.54</v>
      </c>
      <c r="J52">
        <v>0.55000000000000004</v>
      </c>
      <c r="L52" t="s">
        <v>65</v>
      </c>
      <c r="M52" t="s">
        <v>84</v>
      </c>
      <c r="N52" t="s">
        <v>75</v>
      </c>
      <c r="O52">
        <v>0.53</v>
      </c>
      <c r="P52">
        <v>0.49</v>
      </c>
      <c r="Q52">
        <v>0.53</v>
      </c>
      <c r="R52">
        <v>0.54</v>
      </c>
      <c r="S52">
        <v>0.55000000000000004</v>
      </c>
      <c r="T52">
        <v>0.55000000000000004</v>
      </c>
    </row>
    <row r="53" spans="1:20" x14ac:dyDescent="0.35">
      <c r="A53" t="s">
        <v>65</v>
      </c>
      <c r="B53" t="s">
        <v>84</v>
      </c>
      <c r="C53" t="s">
        <v>76</v>
      </c>
      <c r="D53">
        <v>0.47</v>
      </c>
      <c r="E53">
        <v>0.33</v>
      </c>
      <c r="F53">
        <v>0.3</v>
      </c>
      <c r="G53">
        <v>0.48</v>
      </c>
      <c r="H53">
        <v>0.5</v>
      </c>
      <c r="I53">
        <v>0.51</v>
      </c>
      <c r="J53">
        <v>0.53</v>
      </c>
      <c r="L53" t="s">
        <v>65</v>
      </c>
      <c r="M53" t="s">
        <v>84</v>
      </c>
      <c r="N53" t="s">
        <v>76</v>
      </c>
      <c r="O53">
        <v>0.47</v>
      </c>
      <c r="P53">
        <v>0.43</v>
      </c>
      <c r="Q53">
        <v>0.48</v>
      </c>
      <c r="R53">
        <v>0.5</v>
      </c>
      <c r="S53">
        <v>0.52</v>
      </c>
      <c r="T53">
        <v>0.53</v>
      </c>
    </row>
    <row r="54" spans="1:20" x14ac:dyDescent="0.35">
      <c r="A54" t="s">
        <v>65</v>
      </c>
      <c r="B54" t="s">
        <v>84</v>
      </c>
      <c r="C54" t="s">
        <v>77</v>
      </c>
      <c r="D54">
        <v>0.32</v>
      </c>
      <c r="E54">
        <v>0.23</v>
      </c>
      <c r="F54">
        <v>0.21</v>
      </c>
      <c r="G54">
        <v>0.33</v>
      </c>
      <c r="H54">
        <v>0.34</v>
      </c>
      <c r="I54">
        <v>0.35</v>
      </c>
      <c r="J54">
        <v>0.36</v>
      </c>
      <c r="L54" t="s">
        <v>65</v>
      </c>
      <c r="M54" t="s">
        <v>84</v>
      </c>
      <c r="N54" t="s">
        <v>77</v>
      </c>
      <c r="O54">
        <v>0.33</v>
      </c>
      <c r="P54">
        <v>0.3</v>
      </c>
      <c r="Q54">
        <v>0.33</v>
      </c>
      <c r="R54">
        <v>0.35</v>
      </c>
      <c r="S54">
        <v>0.36</v>
      </c>
      <c r="T54">
        <v>0.37</v>
      </c>
    </row>
    <row r="55" spans="1:20" x14ac:dyDescent="0.35">
      <c r="A55" t="s">
        <v>65</v>
      </c>
      <c r="B55" t="s">
        <v>84</v>
      </c>
      <c r="C55" t="s">
        <v>78</v>
      </c>
      <c r="D55">
        <v>0.89</v>
      </c>
      <c r="E55">
        <v>0.68</v>
      </c>
      <c r="F55">
        <v>0.65</v>
      </c>
      <c r="G55">
        <v>1</v>
      </c>
      <c r="H55">
        <v>1.05</v>
      </c>
      <c r="I55">
        <v>1.1000000000000001</v>
      </c>
      <c r="J55">
        <v>1.1499999999999999</v>
      </c>
      <c r="L55" t="s">
        <v>65</v>
      </c>
      <c r="M55" t="s">
        <v>84</v>
      </c>
      <c r="N55" t="s">
        <v>78</v>
      </c>
      <c r="O55">
        <v>0.92</v>
      </c>
      <c r="P55">
        <v>0.91</v>
      </c>
      <c r="Q55">
        <v>1.01</v>
      </c>
      <c r="R55">
        <v>1.06</v>
      </c>
      <c r="S55">
        <v>1.1100000000000001</v>
      </c>
      <c r="T55">
        <v>1.1599999999999999</v>
      </c>
    </row>
    <row r="56" spans="1:20" x14ac:dyDescent="0.35">
      <c r="A56" t="s">
        <v>65</v>
      </c>
      <c r="B56" t="s">
        <v>84</v>
      </c>
      <c r="C56" t="s">
        <v>79</v>
      </c>
      <c r="D56">
        <v>0.31</v>
      </c>
      <c r="E56">
        <v>0.23</v>
      </c>
      <c r="F56">
        <v>0.23</v>
      </c>
      <c r="G56">
        <v>0.36</v>
      </c>
      <c r="H56">
        <v>0.39</v>
      </c>
      <c r="I56">
        <v>0.41</v>
      </c>
      <c r="J56">
        <v>0.44</v>
      </c>
      <c r="L56" t="s">
        <v>65</v>
      </c>
      <c r="M56" t="s">
        <v>84</v>
      </c>
      <c r="N56" t="s">
        <v>79</v>
      </c>
      <c r="O56">
        <v>0.33</v>
      </c>
      <c r="P56">
        <v>0.32</v>
      </c>
      <c r="Q56">
        <v>0.37</v>
      </c>
      <c r="R56">
        <v>0.39</v>
      </c>
      <c r="S56">
        <v>0.42</v>
      </c>
      <c r="T56">
        <v>0.45</v>
      </c>
    </row>
    <row r="57" spans="1:20" x14ac:dyDescent="0.35">
      <c r="A57" t="s">
        <v>65</v>
      </c>
      <c r="B57" t="s">
        <v>84</v>
      </c>
      <c r="C57" t="s">
        <v>80</v>
      </c>
      <c r="D57">
        <v>0.51</v>
      </c>
      <c r="E57">
        <v>0.4</v>
      </c>
      <c r="F57">
        <v>0.4</v>
      </c>
      <c r="G57">
        <v>0.61</v>
      </c>
      <c r="H57">
        <v>0.66</v>
      </c>
      <c r="I57">
        <v>0.71</v>
      </c>
      <c r="J57">
        <v>0.76</v>
      </c>
      <c r="L57" t="s">
        <v>65</v>
      </c>
      <c r="M57" t="s">
        <v>84</v>
      </c>
      <c r="N57" t="s">
        <v>80</v>
      </c>
      <c r="O57">
        <v>0.54</v>
      </c>
      <c r="P57">
        <v>0.54</v>
      </c>
      <c r="Q57">
        <v>0.61</v>
      </c>
      <c r="R57">
        <v>0.67</v>
      </c>
      <c r="S57">
        <v>0.71</v>
      </c>
      <c r="T57">
        <v>0.76</v>
      </c>
    </row>
    <row r="58" spans="1:20" x14ac:dyDescent="0.35">
      <c r="A58" t="s">
        <v>65</v>
      </c>
      <c r="B58" t="s">
        <v>84</v>
      </c>
      <c r="C58" t="s">
        <v>81</v>
      </c>
      <c r="D58">
        <v>0.38</v>
      </c>
      <c r="E58">
        <v>0.27</v>
      </c>
      <c r="F58">
        <v>0.26</v>
      </c>
      <c r="G58">
        <v>0.42</v>
      </c>
      <c r="H58">
        <v>0.44</v>
      </c>
      <c r="I58">
        <v>0.45</v>
      </c>
      <c r="J58">
        <v>0.47</v>
      </c>
      <c r="L58" t="s">
        <v>65</v>
      </c>
      <c r="M58" t="s">
        <v>84</v>
      </c>
      <c r="N58" t="s">
        <v>81</v>
      </c>
      <c r="O58">
        <v>0.4</v>
      </c>
      <c r="P58">
        <v>0.38</v>
      </c>
      <c r="Q58">
        <v>0.42</v>
      </c>
      <c r="R58">
        <v>0.44</v>
      </c>
      <c r="S58">
        <v>0.45</v>
      </c>
      <c r="T58">
        <v>0.47</v>
      </c>
    </row>
    <row r="59" spans="1:20" x14ac:dyDescent="0.35">
      <c r="A59" t="s">
        <v>65</v>
      </c>
      <c r="B59" t="s">
        <v>84</v>
      </c>
      <c r="C59" t="s">
        <v>82</v>
      </c>
      <c r="D59">
        <v>1.21</v>
      </c>
      <c r="E59">
        <v>1.02</v>
      </c>
      <c r="F59">
        <v>0.95</v>
      </c>
      <c r="G59">
        <v>1.27</v>
      </c>
      <c r="H59">
        <v>1.33</v>
      </c>
      <c r="I59">
        <v>1.36</v>
      </c>
      <c r="J59">
        <v>1.41</v>
      </c>
      <c r="L59" t="s">
        <v>65</v>
      </c>
      <c r="M59" t="s">
        <v>84</v>
      </c>
      <c r="N59" t="s">
        <v>82</v>
      </c>
      <c r="O59">
        <v>1.23</v>
      </c>
      <c r="P59">
        <v>1.1599999999999999</v>
      </c>
      <c r="Q59">
        <v>1.28</v>
      </c>
      <c r="R59">
        <v>1.35</v>
      </c>
      <c r="S59">
        <v>1.38</v>
      </c>
      <c r="T59">
        <v>1.43</v>
      </c>
    </row>
    <row r="60" spans="1:20" x14ac:dyDescent="0.35">
      <c r="A60" t="s">
        <v>65</v>
      </c>
      <c r="B60" t="s">
        <v>85</v>
      </c>
      <c r="C60" t="s">
        <v>67</v>
      </c>
      <c r="D60">
        <v>0.52</v>
      </c>
      <c r="E60">
        <v>0.48</v>
      </c>
      <c r="F60">
        <v>0.47</v>
      </c>
      <c r="G60">
        <v>0.64</v>
      </c>
      <c r="H60">
        <v>0.66</v>
      </c>
      <c r="I60">
        <v>0.73</v>
      </c>
      <c r="J60">
        <v>0.77</v>
      </c>
      <c r="L60" t="s">
        <v>65</v>
      </c>
      <c r="M60" t="s">
        <v>85</v>
      </c>
      <c r="N60" t="s">
        <v>67</v>
      </c>
      <c r="O60">
        <v>0.59</v>
      </c>
      <c r="P60">
        <v>0.63</v>
      </c>
      <c r="Q60">
        <v>0.62</v>
      </c>
      <c r="R60">
        <v>0.64</v>
      </c>
      <c r="S60">
        <v>0.71</v>
      </c>
      <c r="T60">
        <v>0.75</v>
      </c>
    </row>
    <row r="61" spans="1:20" x14ac:dyDescent="0.35">
      <c r="A61" t="s">
        <v>65</v>
      </c>
      <c r="B61" t="s">
        <v>85</v>
      </c>
      <c r="C61" t="s">
        <v>68</v>
      </c>
      <c r="D61">
        <v>0.67</v>
      </c>
      <c r="E61">
        <v>0.61</v>
      </c>
      <c r="F61">
        <v>0.6</v>
      </c>
      <c r="G61">
        <v>0.74</v>
      </c>
      <c r="H61">
        <v>0.77</v>
      </c>
      <c r="I61">
        <v>0.88</v>
      </c>
      <c r="J61">
        <v>0.93</v>
      </c>
      <c r="L61" t="s">
        <v>65</v>
      </c>
      <c r="M61" t="s">
        <v>85</v>
      </c>
      <c r="N61" t="s">
        <v>68</v>
      </c>
      <c r="O61">
        <v>0.76</v>
      </c>
      <c r="P61">
        <v>0.77</v>
      </c>
      <c r="Q61">
        <v>0.73</v>
      </c>
      <c r="R61">
        <v>0.75</v>
      </c>
      <c r="S61">
        <v>0.86</v>
      </c>
      <c r="T61">
        <v>0.91</v>
      </c>
    </row>
    <row r="62" spans="1:20" x14ac:dyDescent="0.35">
      <c r="A62" t="s">
        <v>65</v>
      </c>
      <c r="B62" t="s">
        <v>85</v>
      </c>
      <c r="C62" t="s">
        <v>69</v>
      </c>
      <c r="D62">
        <v>1.45</v>
      </c>
      <c r="E62">
        <v>1.17</v>
      </c>
      <c r="F62">
        <v>1.1499999999999999</v>
      </c>
      <c r="G62">
        <v>1.66</v>
      </c>
      <c r="H62">
        <v>1.66</v>
      </c>
      <c r="I62">
        <v>1.81</v>
      </c>
      <c r="J62">
        <v>1.93</v>
      </c>
      <c r="L62" t="s">
        <v>65</v>
      </c>
      <c r="M62" t="s">
        <v>85</v>
      </c>
      <c r="N62" t="s">
        <v>69</v>
      </c>
      <c r="O62">
        <v>1.68</v>
      </c>
      <c r="P62">
        <v>1.73</v>
      </c>
      <c r="Q62">
        <v>1.63</v>
      </c>
      <c r="R62">
        <v>1.63</v>
      </c>
      <c r="S62">
        <v>1.78</v>
      </c>
      <c r="T62">
        <v>1.9</v>
      </c>
    </row>
    <row r="63" spans="1:20" x14ac:dyDescent="0.35">
      <c r="A63" t="s">
        <v>65</v>
      </c>
      <c r="B63" t="s">
        <v>85</v>
      </c>
      <c r="C63" t="s">
        <v>70</v>
      </c>
      <c r="D63">
        <v>1.49</v>
      </c>
      <c r="E63">
        <v>0.96</v>
      </c>
      <c r="F63">
        <v>0.97</v>
      </c>
      <c r="G63">
        <v>1.79</v>
      </c>
      <c r="H63">
        <v>1.72</v>
      </c>
      <c r="I63">
        <v>1.9</v>
      </c>
      <c r="J63">
        <v>2.04</v>
      </c>
      <c r="L63" t="s">
        <v>65</v>
      </c>
      <c r="M63" t="s">
        <v>85</v>
      </c>
      <c r="N63" t="s">
        <v>70</v>
      </c>
      <c r="O63">
        <v>1.81</v>
      </c>
      <c r="P63">
        <v>1.91</v>
      </c>
      <c r="Q63">
        <v>1.79</v>
      </c>
      <c r="R63">
        <v>1.72</v>
      </c>
      <c r="S63">
        <v>1.9</v>
      </c>
      <c r="T63">
        <v>2.0299999999999998</v>
      </c>
    </row>
    <row r="64" spans="1:20" x14ac:dyDescent="0.35">
      <c r="A64" t="s">
        <v>65</v>
      </c>
      <c r="B64" t="s">
        <v>85</v>
      </c>
      <c r="C64" t="s">
        <v>71</v>
      </c>
      <c r="D64">
        <v>1.51</v>
      </c>
      <c r="E64">
        <v>1.0900000000000001</v>
      </c>
      <c r="F64">
        <v>1.08</v>
      </c>
      <c r="G64">
        <v>1.76</v>
      </c>
      <c r="H64">
        <v>1.69</v>
      </c>
      <c r="I64">
        <v>1.82</v>
      </c>
      <c r="J64">
        <v>1.94</v>
      </c>
      <c r="L64" t="s">
        <v>65</v>
      </c>
      <c r="M64" t="s">
        <v>85</v>
      </c>
      <c r="N64" t="s">
        <v>71</v>
      </c>
      <c r="O64">
        <v>1.86</v>
      </c>
      <c r="P64">
        <v>1.91</v>
      </c>
      <c r="Q64">
        <v>1.76</v>
      </c>
      <c r="R64">
        <v>1.68</v>
      </c>
      <c r="S64">
        <v>1.82</v>
      </c>
      <c r="T64">
        <v>1.94</v>
      </c>
    </row>
    <row r="65" spans="1:20" x14ac:dyDescent="0.35">
      <c r="A65" t="s">
        <v>65</v>
      </c>
      <c r="B65" t="s">
        <v>85</v>
      </c>
      <c r="C65" t="s">
        <v>72</v>
      </c>
      <c r="D65">
        <v>1.22</v>
      </c>
      <c r="E65">
        <v>0.87</v>
      </c>
      <c r="F65">
        <v>0.89</v>
      </c>
      <c r="G65">
        <v>1.4</v>
      </c>
      <c r="H65">
        <v>1.4</v>
      </c>
      <c r="I65">
        <v>1.54</v>
      </c>
      <c r="J65">
        <v>1.64</v>
      </c>
      <c r="L65" t="s">
        <v>65</v>
      </c>
      <c r="M65" t="s">
        <v>85</v>
      </c>
      <c r="N65" t="s">
        <v>72</v>
      </c>
      <c r="O65">
        <v>1.45</v>
      </c>
      <c r="P65">
        <v>1.53</v>
      </c>
      <c r="Q65">
        <v>1.4</v>
      </c>
      <c r="R65">
        <v>1.4</v>
      </c>
      <c r="S65">
        <v>1.54</v>
      </c>
      <c r="T65">
        <v>1.64</v>
      </c>
    </row>
    <row r="66" spans="1:20" x14ac:dyDescent="0.35">
      <c r="A66" t="s">
        <v>65</v>
      </c>
      <c r="B66" t="s">
        <v>85</v>
      </c>
      <c r="C66" t="s">
        <v>73</v>
      </c>
      <c r="D66">
        <v>0.89</v>
      </c>
      <c r="E66">
        <v>0.74</v>
      </c>
      <c r="F66">
        <v>0.67</v>
      </c>
      <c r="G66">
        <v>1.02</v>
      </c>
      <c r="H66">
        <v>1</v>
      </c>
      <c r="I66">
        <v>1.1000000000000001</v>
      </c>
      <c r="J66">
        <v>1.1499999999999999</v>
      </c>
      <c r="L66" t="s">
        <v>65</v>
      </c>
      <c r="M66" t="s">
        <v>85</v>
      </c>
      <c r="N66" t="s">
        <v>73</v>
      </c>
      <c r="O66">
        <v>1.05</v>
      </c>
      <c r="P66">
        <v>1.1000000000000001</v>
      </c>
      <c r="Q66">
        <v>1.01</v>
      </c>
      <c r="R66">
        <v>0.98</v>
      </c>
      <c r="S66">
        <v>1.0900000000000001</v>
      </c>
      <c r="T66">
        <v>1.1399999999999999</v>
      </c>
    </row>
    <row r="67" spans="1:20" x14ac:dyDescent="0.35">
      <c r="A67" t="s">
        <v>65</v>
      </c>
      <c r="B67" t="s">
        <v>85</v>
      </c>
      <c r="C67" t="s">
        <v>74</v>
      </c>
      <c r="D67">
        <v>1.39</v>
      </c>
      <c r="E67">
        <v>1.27</v>
      </c>
      <c r="F67">
        <v>1.24</v>
      </c>
      <c r="G67">
        <v>1.54</v>
      </c>
      <c r="H67">
        <v>1.51</v>
      </c>
      <c r="I67">
        <v>1.63</v>
      </c>
      <c r="J67">
        <v>1.71</v>
      </c>
      <c r="L67" t="s">
        <v>65</v>
      </c>
      <c r="M67" t="s">
        <v>85</v>
      </c>
      <c r="N67" t="s">
        <v>74</v>
      </c>
      <c r="O67">
        <v>1.62</v>
      </c>
      <c r="P67">
        <v>1.65</v>
      </c>
      <c r="Q67">
        <v>1.52</v>
      </c>
      <c r="R67">
        <v>1.48</v>
      </c>
      <c r="S67">
        <v>1.61</v>
      </c>
      <c r="T67">
        <v>1.69</v>
      </c>
    </row>
    <row r="68" spans="1:20" x14ac:dyDescent="0.35">
      <c r="A68" t="s">
        <v>65</v>
      </c>
      <c r="B68" t="s">
        <v>85</v>
      </c>
      <c r="C68" t="s">
        <v>75</v>
      </c>
      <c r="D68">
        <v>0.8</v>
      </c>
      <c r="E68">
        <v>0.77</v>
      </c>
      <c r="F68">
        <v>0.74</v>
      </c>
      <c r="G68">
        <v>0.89</v>
      </c>
      <c r="H68">
        <v>0.89</v>
      </c>
      <c r="I68">
        <v>0.97</v>
      </c>
      <c r="J68">
        <v>1.03</v>
      </c>
      <c r="L68" t="s">
        <v>65</v>
      </c>
      <c r="M68" t="s">
        <v>85</v>
      </c>
      <c r="N68" t="s">
        <v>75</v>
      </c>
      <c r="O68">
        <v>0.92</v>
      </c>
      <c r="P68">
        <v>0.92</v>
      </c>
      <c r="Q68">
        <v>0.87</v>
      </c>
      <c r="R68">
        <v>0.87</v>
      </c>
      <c r="S68">
        <v>0.95</v>
      </c>
      <c r="T68">
        <v>1.01</v>
      </c>
    </row>
    <row r="69" spans="1:20" x14ac:dyDescent="0.35">
      <c r="A69" t="s">
        <v>65</v>
      </c>
      <c r="B69" t="s">
        <v>85</v>
      </c>
      <c r="C69" t="s">
        <v>76</v>
      </c>
      <c r="D69">
        <v>0.86</v>
      </c>
      <c r="E69">
        <v>0.64</v>
      </c>
      <c r="F69">
        <v>0.64</v>
      </c>
      <c r="G69">
        <v>0.98</v>
      </c>
      <c r="H69">
        <v>0.95</v>
      </c>
      <c r="I69">
        <v>1.05</v>
      </c>
      <c r="J69">
        <v>1.0900000000000001</v>
      </c>
      <c r="L69" t="s">
        <v>65</v>
      </c>
      <c r="M69" t="s">
        <v>85</v>
      </c>
      <c r="N69" t="s">
        <v>76</v>
      </c>
      <c r="O69">
        <v>1.02</v>
      </c>
      <c r="P69">
        <v>1.05</v>
      </c>
      <c r="Q69">
        <v>0.98</v>
      </c>
      <c r="R69">
        <v>0.95</v>
      </c>
      <c r="S69">
        <v>1.04</v>
      </c>
      <c r="T69">
        <v>1.0900000000000001</v>
      </c>
    </row>
    <row r="70" spans="1:20" x14ac:dyDescent="0.35">
      <c r="A70" t="s">
        <v>65</v>
      </c>
      <c r="B70" t="s">
        <v>85</v>
      </c>
      <c r="C70" t="s">
        <v>77</v>
      </c>
      <c r="D70">
        <v>0.61</v>
      </c>
      <c r="E70">
        <v>0.46</v>
      </c>
      <c r="F70">
        <v>0.45</v>
      </c>
      <c r="G70">
        <v>0.68</v>
      </c>
      <c r="H70">
        <v>0.67</v>
      </c>
      <c r="I70">
        <v>0.73</v>
      </c>
      <c r="J70">
        <v>0.77</v>
      </c>
      <c r="L70" t="s">
        <v>65</v>
      </c>
      <c r="M70" t="s">
        <v>85</v>
      </c>
      <c r="N70" t="s">
        <v>77</v>
      </c>
      <c r="O70">
        <v>0.72</v>
      </c>
      <c r="P70">
        <v>0.73</v>
      </c>
      <c r="Q70">
        <v>0.68</v>
      </c>
      <c r="R70">
        <v>0.67</v>
      </c>
      <c r="S70">
        <v>0.73</v>
      </c>
      <c r="T70">
        <v>0.77</v>
      </c>
    </row>
    <row r="71" spans="1:20" x14ac:dyDescent="0.35">
      <c r="A71" t="s">
        <v>65</v>
      </c>
      <c r="B71" t="s">
        <v>85</v>
      </c>
      <c r="C71" t="s">
        <v>78</v>
      </c>
      <c r="D71">
        <v>1.69</v>
      </c>
      <c r="E71">
        <v>1.33</v>
      </c>
      <c r="F71">
        <v>1.34</v>
      </c>
      <c r="G71">
        <v>2.0099999999999998</v>
      </c>
      <c r="H71">
        <v>2.02</v>
      </c>
      <c r="I71">
        <v>2.2000000000000002</v>
      </c>
      <c r="J71">
        <v>2.31</v>
      </c>
      <c r="L71" t="s">
        <v>65</v>
      </c>
      <c r="M71" t="s">
        <v>85</v>
      </c>
      <c r="N71" t="s">
        <v>78</v>
      </c>
      <c r="O71">
        <v>2.06</v>
      </c>
      <c r="P71">
        <v>2.1800000000000002</v>
      </c>
      <c r="Q71">
        <v>2</v>
      </c>
      <c r="R71">
        <v>2.0099999999999998</v>
      </c>
      <c r="S71">
        <v>2.19</v>
      </c>
      <c r="T71">
        <v>2.31</v>
      </c>
    </row>
    <row r="72" spans="1:20" x14ac:dyDescent="0.35">
      <c r="A72" t="s">
        <v>65</v>
      </c>
      <c r="B72" t="s">
        <v>85</v>
      </c>
      <c r="C72" t="s">
        <v>79</v>
      </c>
      <c r="D72">
        <v>0.42</v>
      </c>
      <c r="E72">
        <v>0.37</v>
      </c>
      <c r="F72">
        <v>0.37</v>
      </c>
      <c r="G72">
        <v>0.6</v>
      </c>
      <c r="H72">
        <v>0.65</v>
      </c>
      <c r="I72">
        <v>0.74</v>
      </c>
      <c r="J72">
        <v>0.82</v>
      </c>
      <c r="L72" t="s">
        <v>65</v>
      </c>
      <c r="M72" t="s">
        <v>85</v>
      </c>
      <c r="N72" t="s">
        <v>79</v>
      </c>
      <c r="O72">
        <v>0.51</v>
      </c>
      <c r="P72">
        <v>0.56000000000000005</v>
      </c>
      <c r="Q72">
        <v>0.59</v>
      </c>
      <c r="R72">
        <v>0.63</v>
      </c>
      <c r="S72">
        <v>0.73</v>
      </c>
      <c r="T72">
        <v>0.81</v>
      </c>
    </row>
    <row r="73" spans="1:20" x14ac:dyDescent="0.35">
      <c r="A73" t="s">
        <v>65</v>
      </c>
      <c r="B73" t="s">
        <v>85</v>
      </c>
      <c r="C73" t="s">
        <v>80</v>
      </c>
      <c r="D73">
        <v>0.99</v>
      </c>
      <c r="E73">
        <v>0.72</v>
      </c>
      <c r="F73">
        <v>0.74</v>
      </c>
      <c r="G73">
        <v>1.26</v>
      </c>
      <c r="H73">
        <v>1.29</v>
      </c>
      <c r="I73">
        <v>1.47</v>
      </c>
      <c r="J73">
        <v>1.61</v>
      </c>
      <c r="L73" t="s">
        <v>65</v>
      </c>
      <c r="M73" t="s">
        <v>85</v>
      </c>
      <c r="N73" t="s">
        <v>80</v>
      </c>
      <c r="O73">
        <v>1.22</v>
      </c>
      <c r="P73">
        <v>1.32</v>
      </c>
      <c r="Q73">
        <v>1.25</v>
      </c>
      <c r="R73">
        <v>1.28</v>
      </c>
      <c r="S73">
        <v>1.46</v>
      </c>
      <c r="T73">
        <v>1.6</v>
      </c>
    </row>
    <row r="74" spans="1:20" x14ac:dyDescent="0.35">
      <c r="A74" t="s">
        <v>65</v>
      </c>
      <c r="B74" t="s">
        <v>85</v>
      </c>
      <c r="C74" t="s">
        <v>81</v>
      </c>
      <c r="D74">
        <v>0.42</v>
      </c>
      <c r="E74">
        <v>0.27</v>
      </c>
      <c r="F74">
        <v>0.27</v>
      </c>
      <c r="G74">
        <v>0.55000000000000004</v>
      </c>
      <c r="H74">
        <v>0.57999999999999996</v>
      </c>
      <c r="I74">
        <v>0.64</v>
      </c>
      <c r="J74">
        <v>0.69</v>
      </c>
      <c r="L74" t="s">
        <v>65</v>
      </c>
      <c r="M74" t="s">
        <v>85</v>
      </c>
      <c r="N74" t="s">
        <v>81</v>
      </c>
      <c r="O74">
        <v>0.53</v>
      </c>
      <c r="P74">
        <v>0.57999999999999996</v>
      </c>
      <c r="Q74">
        <v>0.55000000000000004</v>
      </c>
      <c r="R74">
        <v>0.56999999999999995</v>
      </c>
      <c r="S74">
        <v>0.64</v>
      </c>
      <c r="T74">
        <v>0.68</v>
      </c>
    </row>
    <row r="75" spans="1:20" x14ac:dyDescent="0.35">
      <c r="A75" t="s">
        <v>65</v>
      </c>
      <c r="B75" t="s">
        <v>85</v>
      </c>
      <c r="C75" t="s">
        <v>82</v>
      </c>
      <c r="D75">
        <v>1.43</v>
      </c>
      <c r="E75">
        <v>1.1499999999999999</v>
      </c>
      <c r="F75">
        <v>1.1499999999999999</v>
      </c>
      <c r="G75">
        <v>1.71</v>
      </c>
      <c r="H75">
        <v>1.76</v>
      </c>
      <c r="I75">
        <v>1.94</v>
      </c>
      <c r="J75">
        <v>2.0499999999999998</v>
      </c>
      <c r="L75" t="s">
        <v>65</v>
      </c>
      <c r="M75" t="s">
        <v>85</v>
      </c>
      <c r="N75" t="s">
        <v>82</v>
      </c>
      <c r="O75">
        <v>1.68</v>
      </c>
      <c r="P75">
        <v>1.76</v>
      </c>
      <c r="Q75">
        <v>1.66</v>
      </c>
      <c r="R75">
        <v>1.75</v>
      </c>
      <c r="S75">
        <v>1.93</v>
      </c>
      <c r="T75">
        <v>2.0299999999999998</v>
      </c>
    </row>
    <row r="76" spans="1:20" x14ac:dyDescent="0.35">
      <c r="A76" t="s">
        <v>86</v>
      </c>
      <c r="B76" t="s">
        <v>85</v>
      </c>
      <c r="C76" t="s">
        <v>67</v>
      </c>
      <c r="D76">
        <v>0.21</v>
      </c>
      <c r="E76">
        <v>0.2</v>
      </c>
      <c r="F76">
        <v>0.21</v>
      </c>
      <c r="G76">
        <v>0.21</v>
      </c>
      <c r="H76">
        <v>0.22</v>
      </c>
      <c r="I76">
        <v>0.24</v>
      </c>
      <c r="J76">
        <v>0.25</v>
      </c>
      <c r="L76" t="s">
        <v>86</v>
      </c>
      <c r="M76" t="s">
        <v>85</v>
      </c>
      <c r="N76" t="s">
        <v>67</v>
      </c>
      <c r="O76">
        <v>0.2</v>
      </c>
      <c r="P76">
        <v>0.21</v>
      </c>
      <c r="Q76">
        <v>0.21</v>
      </c>
      <c r="R76">
        <v>0.22</v>
      </c>
      <c r="S76">
        <v>0.24</v>
      </c>
      <c r="T76">
        <v>0.25</v>
      </c>
    </row>
    <row r="77" spans="1:20" x14ac:dyDescent="0.35">
      <c r="A77" t="s">
        <v>86</v>
      </c>
      <c r="B77" t="s">
        <v>85</v>
      </c>
      <c r="C77" t="s">
        <v>68</v>
      </c>
      <c r="D77">
        <v>0.28999999999999998</v>
      </c>
      <c r="E77">
        <v>0.28000000000000003</v>
      </c>
      <c r="F77">
        <v>0.28000000000000003</v>
      </c>
      <c r="G77">
        <v>0.27</v>
      </c>
      <c r="H77">
        <v>0.28999999999999998</v>
      </c>
      <c r="I77">
        <v>0.31</v>
      </c>
      <c r="J77">
        <v>0.32</v>
      </c>
      <c r="L77" t="s">
        <v>86</v>
      </c>
      <c r="M77" t="s">
        <v>85</v>
      </c>
      <c r="N77" t="s">
        <v>68</v>
      </c>
      <c r="O77">
        <v>0.28000000000000003</v>
      </c>
      <c r="P77">
        <v>0.28000000000000003</v>
      </c>
      <c r="Q77">
        <v>0.27</v>
      </c>
      <c r="R77">
        <v>0.28000000000000003</v>
      </c>
      <c r="S77">
        <v>0.31</v>
      </c>
      <c r="T77">
        <v>0.32</v>
      </c>
    </row>
    <row r="78" spans="1:20" x14ac:dyDescent="0.35">
      <c r="A78" t="s">
        <v>86</v>
      </c>
      <c r="B78" t="s">
        <v>85</v>
      </c>
      <c r="C78" t="s">
        <v>69</v>
      </c>
      <c r="D78">
        <v>0.5</v>
      </c>
      <c r="E78">
        <v>0.49</v>
      </c>
      <c r="F78">
        <v>0.51</v>
      </c>
      <c r="G78">
        <v>0.5</v>
      </c>
      <c r="H78">
        <v>0.52</v>
      </c>
      <c r="I78">
        <v>0.56999999999999995</v>
      </c>
      <c r="J78">
        <v>0.6</v>
      </c>
      <c r="L78" t="s">
        <v>86</v>
      </c>
      <c r="M78" t="s">
        <v>85</v>
      </c>
      <c r="N78" t="s">
        <v>69</v>
      </c>
      <c r="O78">
        <v>0.5</v>
      </c>
      <c r="P78">
        <v>0.51</v>
      </c>
      <c r="Q78">
        <v>0.5</v>
      </c>
      <c r="R78">
        <v>0.52</v>
      </c>
      <c r="S78">
        <v>0.56999999999999995</v>
      </c>
      <c r="T78">
        <v>0.6</v>
      </c>
    </row>
    <row r="79" spans="1:20" x14ac:dyDescent="0.35">
      <c r="A79" t="s">
        <v>86</v>
      </c>
      <c r="B79" t="s">
        <v>85</v>
      </c>
      <c r="C79" t="s">
        <v>70</v>
      </c>
      <c r="D79">
        <v>0.42</v>
      </c>
      <c r="E79">
        <v>0.43</v>
      </c>
      <c r="F79">
        <v>0.44</v>
      </c>
      <c r="G79">
        <v>0.43</v>
      </c>
      <c r="H79">
        <v>0.43</v>
      </c>
      <c r="I79">
        <v>0.47</v>
      </c>
      <c r="J79">
        <v>0.47</v>
      </c>
      <c r="L79" t="s">
        <v>86</v>
      </c>
      <c r="M79" t="s">
        <v>85</v>
      </c>
      <c r="N79" t="s">
        <v>70</v>
      </c>
      <c r="O79">
        <v>0.43</v>
      </c>
      <c r="P79">
        <v>0.44</v>
      </c>
      <c r="Q79">
        <v>0.43</v>
      </c>
      <c r="R79">
        <v>0.43</v>
      </c>
      <c r="S79">
        <v>0.47</v>
      </c>
      <c r="T79">
        <v>0.47</v>
      </c>
    </row>
    <row r="80" spans="1:20" x14ac:dyDescent="0.35">
      <c r="A80" t="s">
        <v>86</v>
      </c>
      <c r="B80" t="s">
        <v>85</v>
      </c>
      <c r="C80" t="s">
        <v>71</v>
      </c>
      <c r="D80">
        <v>0.45</v>
      </c>
      <c r="E80">
        <v>0.46</v>
      </c>
      <c r="F80">
        <v>0.46</v>
      </c>
      <c r="G80">
        <v>0.43</v>
      </c>
      <c r="H80">
        <v>0.45</v>
      </c>
      <c r="I80">
        <v>0.48</v>
      </c>
      <c r="J80">
        <v>0.49</v>
      </c>
      <c r="L80" t="s">
        <v>86</v>
      </c>
      <c r="M80" t="s">
        <v>85</v>
      </c>
      <c r="N80" t="s">
        <v>71</v>
      </c>
      <c r="O80">
        <v>0.46</v>
      </c>
      <c r="P80">
        <v>0.46</v>
      </c>
      <c r="Q80">
        <v>0.43</v>
      </c>
      <c r="R80">
        <v>0.45</v>
      </c>
      <c r="S80">
        <v>0.48</v>
      </c>
      <c r="T80">
        <v>0.49</v>
      </c>
    </row>
    <row r="81" spans="1:20" x14ac:dyDescent="0.35">
      <c r="A81" t="s">
        <v>86</v>
      </c>
      <c r="B81" t="s">
        <v>85</v>
      </c>
      <c r="C81" t="s">
        <v>72</v>
      </c>
      <c r="D81">
        <v>0.28000000000000003</v>
      </c>
      <c r="E81">
        <v>0.28000000000000003</v>
      </c>
      <c r="F81">
        <v>0.28000000000000003</v>
      </c>
      <c r="G81">
        <v>0.26</v>
      </c>
      <c r="H81">
        <v>0.27</v>
      </c>
      <c r="I81">
        <v>0.28999999999999998</v>
      </c>
      <c r="J81">
        <v>0.28999999999999998</v>
      </c>
      <c r="L81" t="s">
        <v>86</v>
      </c>
      <c r="M81" t="s">
        <v>85</v>
      </c>
      <c r="N81" t="s">
        <v>72</v>
      </c>
      <c r="O81">
        <v>0.28000000000000003</v>
      </c>
      <c r="P81">
        <v>0.28000000000000003</v>
      </c>
      <c r="Q81">
        <v>0.26</v>
      </c>
      <c r="R81">
        <v>0.27</v>
      </c>
      <c r="S81">
        <v>0.28999999999999998</v>
      </c>
      <c r="T81">
        <v>0.28999999999999998</v>
      </c>
    </row>
    <row r="82" spans="1:20" x14ac:dyDescent="0.35">
      <c r="A82" t="s">
        <v>86</v>
      </c>
      <c r="B82" t="s">
        <v>85</v>
      </c>
      <c r="C82" t="s">
        <v>73</v>
      </c>
      <c r="D82">
        <v>0.27</v>
      </c>
      <c r="E82">
        <v>0.27</v>
      </c>
      <c r="F82">
        <v>0.27</v>
      </c>
      <c r="G82">
        <v>0.27</v>
      </c>
      <c r="H82">
        <v>0.28000000000000003</v>
      </c>
      <c r="I82">
        <v>0.32</v>
      </c>
      <c r="J82">
        <v>0.33</v>
      </c>
      <c r="L82" t="s">
        <v>86</v>
      </c>
      <c r="M82" t="s">
        <v>85</v>
      </c>
      <c r="N82" t="s">
        <v>73</v>
      </c>
      <c r="O82">
        <v>0.27</v>
      </c>
      <c r="P82">
        <v>0.27</v>
      </c>
      <c r="Q82">
        <v>0.27</v>
      </c>
      <c r="R82">
        <v>0.28000000000000003</v>
      </c>
      <c r="S82">
        <v>0.32</v>
      </c>
      <c r="T82">
        <v>0.33</v>
      </c>
    </row>
    <row r="83" spans="1:20" x14ac:dyDescent="0.35">
      <c r="A83" t="s">
        <v>86</v>
      </c>
      <c r="B83" t="s">
        <v>85</v>
      </c>
      <c r="C83" t="s">
        <v>74</v>
      </c>
      <c r="D83">
        <v>0.43</v>
      </c>
      <c r="E83">
        <v>0.44</v>
      </c>
      <c r="F83">
        <v>0.45</v>
      </c>
      <c r="G83">
        <v>0.44</v>
      </c>
      <c r="H83">
        <v>0.46</v>
      </c>
      <c r="I83">
        <v>0.5</v>
      </c>
      <c r="J83">
        <v>0.51</v>
      </c>
      <c r="L83" t="s">
        <v>86</v>
      </c>
      <c r="M83" t="s">
        <v>85</v>
      </c>
      <c r="N83" t="s">
        <v>74</v>
      </c>
      <c r="O83">
        <v>0.44</v>
      </c>
      <c r="P83">
        <v>0.45</v>
      </c>
      <c r="Q83">
        <v>0.44</v>
      </c>
      <c r="R83">
        <v>0.45</v>
      </c>
      <c r="S83">
        <v>0.5</v>
      </c>
      <c r="T83">
        <v>0.51</v>
      </c>
    </row>
    <row r="84" spans="1:20" x14ac:dyDescent="0.35">
      <c r="A84" t="s">
        <v>86</v>
      </c>
      <c r="B84" t="s">
        <v>85</v>
      </c>
      <c r="C84" t="s">
        <v>75</v>
      </c>
      <c r="D84">
        <v>0.28000000000000003</v>
      </c>
      <c r="E84">
        <v>0.27</v>
      </c>
      <c r="F84">
        <v>0.25</v>
      </c>
      <c r="G84">
        <v>0.25</v>
      </c>
      <c r="H84">
        <v>0.26</v>
      </c>
      <c r="I84">
        <v>0.28000000000000003</v>
      </c>
      <c r="J84">
        <v>0.28999999999999998</v>
      </c>
      <c r="L84" t="s">
        <v>86</v>
      </c>
      <c r="M84" t="s">
        <v>85</v>
      </c>
      <c r="N84" t="s">
        <v>75</v>
      </c>
      <c r="O84">
        <v>0.27</v>
      </c>
      <c r="P84">
        <v>0.25</v>
      </c>
      <c r="Q84">
        <v>0.24</v>
      </c>
      <c r="R84">
        <v>0.26</v>
      </c>
      <c r="S84">
        <v>0.28000000000000003</v>
      </c>
      <c r="T84">
        <v>0.28000000000000003</v>
      </c>
    </row>
    <row r="85" spans="1:20" x14ac:dyDescent="0.35">
      <c r="A85" t="s">
        <v>86</v>
      </c>
      <c r="B85" t="s">
        <v>85</v>
      </c>
      <c r="C85" t="s">
        <v>76</v>
      </c>
      <c r="D85">
        <v>0.35</v>
      </c>
      <c r="E85">
        <v>0.34</v>
      </c>
      <c r="F85">
        <v>0.35</v>
      </c>
      <c r="G85">
        <v>0.33</v>
      </c>
      <c r="H85">
        <v>0.35</v>
      </c>
      <c r="I85">
        <v>0.38</v>
      </c>
      <c r="J85">
        <v>0.38</v>
      </c>
      <c r="L85" t="s">
        <v>86</v>
      </c>
      <c r="M85" t="s">
        <v>85</v>
      </c>
      <c r="N85" t="s">
        <v>76</v>
      </c>
      <c r="O85">
        <v>0.34</v>
      </c>
      <c r="P85">
        <v>0.35</v>
      </c>
      <c r="Q85">
        <v>0.33</v>
      </c>
      <c r="R85">
        <v>0.35</v>
      </c>
      <c r="S85">
        <v>0.38</v>
      </c>
      <c r="T85">
        <v>0.38</v>
      </c>
    </row>
    <row r="86" spans="1:20" x14ac:dyDescent="0.35">
      <c r="A86" t="s">
        <v>86</v>
      </c>
      <c r="B86" t="s">
        <v>85</v>
      </c>
      <c r="C86" t="s">
        <v>77</v>
      </c>
      <c r="D86">
        <v>0.27</v>
      </c>
      <c r="E86">
        <v>0.26</v>
      </c>
      <c r="F86">
        <v>0.26</v>
      </c>
      <c r="G86">
        <v>0.25</v>
      </c>
      <c r="H86">
        <v>0.26</v>
      </c>
      <c r="I86">
        <v>0.28000000000000003</v>
      </c>
      <c r="J86">
        <v>0.28999999999999998</v>
      </c>
      <c r="L86" t="s">
        <v>86</v>
      </c>
      <c r="M86" t="s">
        <v>85</v>
      </c>
      <c r="N86" t="s">
        <v>77</v>
      </c>
      <c r="O86">
        <v>0.26</v>
      </c>
      <c r="P86">
        <v>0.26</v>
      </c>
      <c r="Q86">
        <v>0.25</v>
      </c>
      <c r="R86">
        <v>0.26</v>
      </c>
      <c r="S86">
        <v>0.28000000000000003</v>
      </c>
      <c r="T86">
        <v>0.28999999999999998</v>
      </c>
    </row>
    <row r="87" spans="1:20" x14ac:dyDescent="0.35">
      <c r="A87" t="s">
        <v>86</v>
      </c>
      <c r="B87" t="s">
        <v>85</v>
      </c>
      <c r="C87" t="s">
        <v>78</v>
      </c>
      <c r="D87">
        <v>0.76</v>
      </c>
      <c r="E87">
        <v>0.73</v>
      </c>
      <c r="F87">
        <v>0.74</v>
      </c>
      <c r="G87">
        <v>0.71</v>
      </c>
      <c r="H87">
        <v>0.74</v>
      </c>
      <c r="I87">
        <v>0.81</v>
      </c>
      <c r="J87">
        <v>0.82</v>
      </c>
      <c r="L87" t="s">
        <v>86</v>
      </c>
      <c r="M87" t="s">
        <v>85</v>
      </c>
      <c r="N87" t="s">
        <v>78</v>
      </c>
      <c r="O87">
        <v>0.73</v>
      </c>
      <c r="P87">
        <v>0.74</v>
      </c>
      <c r="Q87">
        <v>0.71</v>
      </c>
      <c r="R87">
        <v>0.74</v>
      </c>
      <c r="S87">
        <v>0.81</v>
      </c>
      <c r="T87">
        <v>0.82</v>
      </c>
    </row>
    <row r="88" spans="1:20" x14ac:dyDescent="0.35">
      <c r="A88" t="s">
        <v>86</v>
      </c>
      <c r="B88" t="s">
        <v>85</v>
      </c>
      <c r="C88" t="s">
        <v>79</v>
      </c>
      <c r="D88">
        <v>0.1</v>
      </c>
      <c r="E88">
        <v>0.11</v>
      </c>
      <c r="F88">
        <v>0.12</v>
      </c>
      <c r="G88">
        <v>0.12</v>
      </c>
      <c r="H88">
        <v>0.13</v>
      </c>
      <c r="I88">
        <v>0.14000000000000001</v>
      </c>
      <c r="J88">
        <v>0.15</v>
      </c>
      <c r="L88" t="s">
        <v>86</v>
      </c>
      <c r="M88" t="s">
        <v>85</v>
      </c>
      <c r="N88" t="s">
        <v>79</v>
      </c>
      <c r="O88">
        <v>0.11</v>
      </c>
      <c r="P88">
        <v>0.12</v>
      </c>
      <c r="Q88">
        <v>0.12</v>
      </c>
      <c r="R88">
        <v>0.13</v>
      </c>
      <c r="S88">
        <v>0.14000000000000001</v>
      </c>
      <c r="T88">
        <v>0.14000000000000001</v>
      </c>
    </row>
    <row r="89" spans="1:20" x14ac:dyDescent="0.35">
      <c r="A89" t="s">
        <v>86</v>
      </c>
      <c r="B89" t="s">
        <v>85</v>
      </c>
      <c r="C89" t="s">
        <v>80</v>
      </c>
      <c r="D89">
        <v>0.23</v>
      </c>
      <c r="E89">
        <v>0.24</v>
      </c>
      <c r="F89">
        <v>0.25</v>
      </c>
      <c r="G89">
        <v>0.24</v>
      </c>
      <c r="H89">
        <v>0.25</v>
      </c>
      <c r="I89">
        <v>0.27</v>
      </c>
      <c r="J89">
        <v>0.28000000000000003</v>
      </c>
      <c r="L89" t="s">
        <v>86</v>
      </c>
      <c r="M89" t="s">
        <v>85</v>
      </c>
      <c r="N89" t="s">
        <v>80</v>
      </c>
      <c r="O89">
        <v>0.24</v>
      </c>
      <c r="P89">
        <v>0.25</v>
      </c>
      <c r="Q89">
        <v>0.24</v>
      </c>
      <c r="R89">
        <v>0.25</v>
      </c>
      <c r="S89">
        <v>0.27</v>
      </c>
      <c r="T89">
        <v>0.28000000000000003</v>
      </c>
    </row>
    <row r="90" spans="1:20" x14ac:dyDescent="0.35">
      <c r="A90" t="s">
        <v>86</v>
      </c>
      <c r="B90" t="s">
        <v>85</v>
      </c>
      <c r="C90" t="s">
        <v>81</v>
      </c>
      <c r="D90">
        <v>0.16</v>
      </c>
      <c r="E90">
        <v>0.17</v>
      </c>
      <c r="F90">
        <v>0.18</v>
      </c>
      <c r="G90">
        <v>0.17</v>
      </c>
      <c r="H90">
        <v>0.18</v>
      </c>
      <c r="I90">
        <v>0.2</v>
      </c>
      <c r="J90">
        <v>0.2</v>
      </c>
      <c r="L90" t="s">
        <v>86</v>
      </c>
      <c r="M90" t="s">
        <v>85</v>
      </c>
      <c r="N90" t="s">
        <v>81</v>
      </c>
      <c r="O90">
        <v>0.17</v>
      </c>
      <c r="P90">
        <v>0.18</v>
      </c>
      <c r="Q90">
        <v>0.17</v>
      </c>
      <c r="R90">
        <v>0.18</v>
      </c>
      <c r="S90">
        <v>0.2</v>
      </c>
      <c r="T90">
        <v>0.2</v>
      </c>
    </row>
    <row r="91" spans="1:20" x14ac:dyDescent="0.35">
      <c r="A91" t="s">
        <v>86</v>
      </c>
      <c r="B91" t="s">
        <v>85</v>
      </c>
      <c r="C91" t="s">
        <v>82</v>
      </c>
      <c r="D91">
        <v>0.61</v>
      </c>
      <c r="E91">
        <v>0.61</v>
      </c>
      <c r="F91">
        <v>0.62</v>
      </c>
      <c r="G91">
        <v>0.6</v>
      </c>
      <c r="H91">
        <v>0.61</v>
      </c>
      <c r="I91">
        <v>0.67</v>
      </c>
      <c r="J91">
        <v>0.69</v>
      </c>
      <c r="L91" t="s">
        <v>86</v>
      </c>
      <c r="M91" t="s">
        <v>85</v>
      </c>
      <c r="N91" t="s">
        <v>82</v>
      </c>
      <c r="O91">
        <v>0.61</v>
      </c>
      <c r="P91">
        <v>0.62</v>
      </c>
      <c r="Q91">
        <v>0.6</v>
      </c>
      <c r="R91">
        <v>0.61</v>
      </c>
      <c r="S91">
        <v>0.66</v>
      </c>
      <c r="T91">
        <v>0.68</v>
      </c>
    </row>
  </sheetData>
  <pageMargins left="0.7" right="0.7" top="0.75" bottom="0.75" header="0.3" footer="0.3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FC029-090B-4628-B2C9-9A01A8874AEC}">
  <sheetPr>
    <tabColor theme="9" tint="0.79998168889431442"/>
  </sheetPr>
  <dimension ref="A1:T27"/>
  <sheetViews>
    <sheetView zoomScale="70" zoomScaleNormal="70" workbookViewId="0">
      <selection activeCell="AB83" sqref="AB83"/>
    </sheetView>
  </sheetViews>
  <sheetFormatPr defaultRowHeight="14.5" x14ac:dyDescent="0.35"/>
  <sheetData>
    <row r="1" spans="1:20" x14ac:dyDescent="0.35">
      <c r="A1" s="10" t="s">
        <v>94</v>
      </c>
    </row>
    <row r="2" spans="1:20" x14ac:dyDescent="0.35">
      <c r="A2" s="10"/>
    </row>
    <row r="3" spans="1:20" x14ac:dyDescent="0.35">
      <c r="A3" t="s">
        <v>57</v>
      </c>
      <c r="L3" t="s">
        <v>63</v>
      </c>
    </row>
    <row r="4" spans="1:20" x14ac:dyDescent="0.35">
      <c r="A4" s="10"/>
    </row>
    <row r="5" spans="1:20" x14ac:dyDescent="0.35">
      <c r="A5" s="10"/>
      <c r="C5" s="8"/>
      <c r="D5" s="8">
        <f>D8</f>
        <v>2020</v>
      </c>
      <c r="E5" s="8">
        <f t="shared" ref="E5:J5" si="0">E8</f>
        <v>2025</v>
      </c>
      <c r="F5" s="8">
        <f t="shared" si="0"/>
        <v>2030</v>
      </c>
      <c r="G5" s="8">
        <f t="shared" si="0"/>
        <v>2035</v>
      </c>
      <c r="H5" s="8">
        <f t="shared" si="0"/>
        <v>2040</v>
      </c>
      <c r="I5" s="8">
        <f t="shared" si="0"/>
        <v>2045</v>
      </c>
      <c r="J5" s="8">
        <f t="shared" si="0"/>
        <v>2050</v>
      </c>
      <c r="L5" s="10"/>
      <c r="N5" s="8"/>
      <c r="O5" s="8">
        <f t="shared" ref="O5:T5" si="1">O8</f>
        <v>2025</v>
      </c>
      <c r="P5" s="8">
        <f t="shared" si="1"/>
        <v>2030</v>
      </c>
      <c r="Q5" s="8">
        <f t="shared" si="1"/>
        <v>2035</v>
      </c>
      <c r="R5" s="8">
        <f t="shared" si="1"/>
        <v>2040</v>
      </c>
      <c r="S5" s="8">
        <f t="shared" si="1"/>
        <v>2045</v>
      </c>
      <c r="T5" s="8">
        <f t="shared" si="1"/>
        <v>2050</v>
      </c>
    </row>
    <row r="6" spans="1:20" x14ac:dyDescent="0.35">
      <c r="A6" s="10"/>
      <c r="C6" s="8" t="s">
        <v>88</v>
      </c>
      <c r="D6" s="11">
        <f>D9*'Economy - IRA'!$B$27</f>
        <v>380.56975694792698</v>
      </c>
      <c r="E6" s="11">
        <f>E9*'Economy - IRA'!$B$27</f>
        <v>463.14132085834785</v>
      </c>
      <c r="F6" s="11">
        <f>F9*'Economy - IRA'!$B$27</f>
        <v>482.62029773759554</v>
      </c>
      <c r="G6" s="11">
        <f>G9*'Economy - IRA'!$B$27</f>
        <v>516.80198224272749</v>
      </c>
      <c r="H6" s="11">
        <f>H9*'Economy - IRA'!$B$27</f>
        <v>568.96704416393231</v>
      </c>
      <c r="I6" s="11">
        <f>I9*'Economy - IRA'!$B$27</f>
        <v>571.31899493263415</v>
      </c>
      <c r="J6" s="11">
        <f>J9*'Economy - IRA'!$B$27</f>
        <v>598.67399156553427</v>
      </c>
      <c r="L6" s="10"/>
      <c r="N6" s="8" t="s">
        <v>88</v>
      </c>
      <c r="O6" s="11">
        <f>O9*'Economy - IRA'!$B$27</f>
        <v>462.67093070460737</v>
      </c>
      <c r="P6" s="11">
        <f>P9*'Economy - IRA'!$B$27</f>
        <v>541.9497635388459</v>
      </c>
      <c r="Q6" s="11">
        <f>Q9*'Economy - IRA'!$B$27</f>
        <v>515.59585364339307</v>
      </c>
      <c r="R6" s="11">
        <f>R9*'Economy - IRA'!$B$27</f>
        <v>553.08233051070067</v>
      </c>
      <c r="S6" s="11">
        <f>S9*'Economy - IRA'!$B$27</f>
        <v>555.20511684552901</v>
      </c>
      <c r="T6" s="11">
        <f>T9*'Economy - IRA'!$B$27</f>
        <v>579.60509841006024</v>
      </c>
    </row>
    <row r="8" spans="1:20" x14ac:dyDescent="0.35">
      <c r="D8" s="1">
        <f>D11</f>
        <v>2020</v>
      </c>
      <c r="E8" s="1">
        <f t="shared" ref="E8:J8" si="2">E11</f>
        <v>2025</v>
      </c>
      <c r="F8" s="1">
        <f t="shared" si="2"/>
        <v>2030</v>
      </c>
      <c r="G8" s="1">
        <f t="shared" si="2"/>
        <v>2035</v>
      </c>
      <c r="H8" s="1">
        <f t="shared" si="2"/>
        <v>2040</v>
      </c>
      <c r="I8" s="1">
        <f t="shared" si="2"/>
        <v>2045</v>
      </c>
      <c r="J8" s="1">
        <f t="shared" si="2"/>
        <v>2050</v>
      </c>
      <c r="O8" s="1">
        <f t="shared" ref="O8:T8" si="3">O11</f>
        <v>2025</v>
      </c>
      <c r="P8" s="1">
        <f t="shared" si="3"/>
        <v>2030</v>
      </c>
      <c r="Q8" s="1">
        <f t="shared" si="3"/>
        <v>2035</v>
      </c>
      <c r="R8" s="1">
        <f t="shared" si="3"/>
        <v>2040</v>
      </c>
      <c r="S8" s="1">
        <f t="shared" si="3"/>
        <v>2045</v>
      </c>
      <c r="T8" s="1">
        <f t="shared" si="3"/>
        <v>2050</v>
      </c>
    </row>
    <row r="9" spans="1:20" x14ac:dyDescent="0.35">
      <c r="A9" t="s">
        <v>87</v>
      </c>
      <c r="C9" t="s">
        <v>89</v>
      </c>
      <c r="D9" s="1">
        <f>SUM(D12:D27)</f>
        <v>315.53000000000003</v>
      </c>
      <c r="E9" s="1">
        <f t="shared" ref="E9:J9" si="4">SUM(E12:E27)</f>
        <v>383.99000000000007</v>
      </c>
      <c r="F9" s="1">
        <f t="shared" si="4"/>
        <v>400.14000000000004</v>
      </c>
      <c r="G9" s="1">
        <f t="shared" si="4"/>
        <v>428.48000000000013</v>
      </c>
      <c r="H9" s="1">
        <f t="shared" si="4"/>
        <v>471.7299999999999</v>
      </c>
      <c r="I9" s="1">
        <f t="shared" si="4"/>
        <v>473.68000000000006</v>
      </c>
      <c r="J9" s="1">
        <f t="shared" si="4"/>
        <v>496.36</v>
      </c>
      <c r="L9" t="s">
        <v>87</v>
      </c>
      <c r="N9" t="s">
        <v>89</v>
      </c>
      <c r="O9" s="1">
        <f t="shared" ref="O9:T9" si="5">SUM(O12:O27)</f>
        <v>383.59999999999997</v>
      </c>
      <c r="P9" s="1">
        <f t="shared" si="5"/>
        <v>449.33000000000004</v>
      </c>
      <c r="Q9" s="1">
        <f t="shared" si="5"/>
        <v>427.48</v>
      </c>
      <c r="R9" s="1">
        <f t="shared" si="5"/>
        <v>458.55999999999995</v>
      </c>
      <c r="S9" s="1">
        <f t="shared" si="5"/>
        <v>460.32000000000011</v>
      </c>
      <c r="T9" s="1">
        <f t="shared" si="5"/>
        <v>480.55</v>
      </c>
    </row>
    <row r="11" spans="1:20" x14ac:dyDescent="0.35">
      <c r="D11">
        <v>2020</v>
      </c>
      <c r="E11">
        <v>2025</v>
      </c>
      <c r="F11">
        <v>2030</v>
      </c>
      <c r="G11">
        <v>2035</v>
      </c>
      <c r="H11">
        <v>2040</v>
      </c>
      <c r="I11">
        <v>2045</v>
      </c>
      <c r="J11">
        <v>2050</v>
      </c>
      <c r="O11">
        <v>2025</v>
      </c>
      <c r="P11">
        <v>2030</v>
      </c>
      <c r="Q11">
        <v>2035</v>
      </c>
      <c r="R11">
        <v>2040</v>
      </c>
      <c r="S11">
        <v>2045</v>
      </c>
      <c r="T11">
        <v>2050</v>
      </c>
    </row>
    <row r="12" spans="1:20" x14ac:dyDescent="0.35">
      <c r="A12" t="s">
        <v>90</v>
      </c>
      <c r="B12" t="s">
        <v>91</v>
      </c>
      <c r="C12" t="s">
        <v>67</v>
      </c>
      <c r="D12">
        <v>12.73</v>
      </c>
      <c r="E12">
        <v>15.78</v>
      </c>
      <c r="F12">
        <v>16.16</v>
      </c>
      <c r="G12">
        <v>16.34</v>
      </c>
      <c r="H12">
        <v>17.510000000000002</v>
      </c>
      <c r="I12">
        <v>16.920000000000002</v>
      </c>
      <c r="J12">
        <v>17.41</v>
      </c>
      <c r="L12" t="s">
        <v>90</v>
      </c>
      <c r="M12" t="s">
        <v>91</v>
      </c>
      <c r="N12" t="s">
        <v>67</v>
      </c>
      <c r="O12">
        <v>15.73</v>
      </c>
      <c r="P12">
        <v>18.11</v>
      </c>
      <c r="Q12">
        <v>16.309999999999999</v>
      </c>
      <c r="R12">
        <v>17.010000000000002</v>
      </c>
      <c r="S12">
        <v>16.45</v>
      </c>
      <c r="T12">
        <v>16.850000000000001</v>
      </c>
    </row>
    <row r="13" spans="1:20" x14ac:dyDescent="0.35">
      <c r="A13" t="s">
        <v>90</v>
      </c>
      <c r="B13" t="s">
        <v>91</v>
      </c>
      <c r="C13" t="s">
        <v>68</v>
      </c>
      <c r="D13">
        <v>13.35</v>
      </c>
      <c r="E13">
        <v>16.23</v>
      </c>
      <c r="F13">
        <v>16.78</v>
      </c>
      <c r="G13">
        <v>16.89</v>
      </c>
      <c r="H13">
        <v>18.14</v>
      </c>
      <c r="I13">
        <v>17.71</v>
      </c>
      <c r="J13">
        <v>18.149999999999999</v>
      </c>
      <c r="L13" t="s">
        <v>90</v>
      </c>
      <c r="M13" t="s">
        <v>91</v>
      </c>
      <c r="N13" t="s">
        <v>68</v>
      </c>
      <c r="O13">
        <v>16.13</v>
      </c>
      <c r="P13">
        <v>18.64</v>
      </c>
      <c r="Q13">
        <v>16.850000000000001</v>
      </c>
      <c r="R13">
        <v>17.66</v>
      </c>
      <c r="S13">
        <v>17.25</v>
      </c>
      <c r="T13">
        <v>17.62</v>
      </c>
    </row>
    <row r="14" spans="1:20" x14ac:dyDescent="0.35">
      <c r="A14" t="s">
        <v>90</v>
      </c>
      <c r="B14" t="s">
        <v>91</v>
      </c>
      <c r="C14" t="s">
        <v>69</v>
      </c>
      <c r="D14">
        <v>26</v>
      </c>
      <c r="E14">
        <v>31.56</v>
      </c>
      <c r="F14">
        <v>32.520000000000003</v>
      </c>
      <c r="G14">
        <v>33.979999999999997</v>
      </c>
      <c r="H14">
        <v>37.020000000000003</v>
      </c>
      <c r="I14">
        <v>36.340000000000003</v>
      </c>
      <c r="J14">
        <v>37.74</v>
      </c>
      <c r="L14" t="s">
        <v>90</v>
      </c>
      <c r="M14" t="s">
        <v>91</v>
      </c>
      <c r="N14" t="s">
        <v>69</v>
      </c>
      <c r="O14">
        <v>31.49</v>
      </c>
      <c r="P14">
        <v>36.479999999999997</v>
      </c>
      <c r="Q14">
        <v>33.9</v>
      </c>
      <c r="R14">
        <v>36</v>
      </c>
      <c r="S14">
        <v>35.340000000000003</v>
      </c>
      <c r="T14">
        <v>36.549999999999997</v>
      </c>
    </row>
    <row r="15" spans="1:20" x14ac:dyDescent="0.35">
      <c r="A15" t="s">
        <v>90</v>
      </c>
      <c r="B15" t="s">
        <v>91</v>
      </c>
      <c r="C15" t="s">
        <v>70</v>
      </c>
      <c r="D15">
        <v>26.42</v>
      </c>
      <c r="E15">
        <v>31.88</v>
      </c>
      <c r="F15">
        <v>33.299999999999997</v>
      </c>
      <c r="G15">
        <v>36.89</v>
      </c>
      <c r="H15">
        <v>41.13</v>
      </c>
      <c r="I15">
        <v>42.12</v>
      </c>
      <c r="J15">
        <v>44.62</v>
      </c>
      <c r="L15" t="s">
        <v>90</v>
      </c>
      <c r="M15" t="s">
        <v>91</v>
      </c>
      <c r="N15" t="s">
        <v>70</v>
      </c>
      <c r="O15">
        <v>31.87</v>
      </c>
      <c r="P15">
        <v>37.44</v>
      </c>
      <c r="Q15">
        <v>36.81</v>
      </c>
      <c r="R15">
        <v>39.94</v>
      </c>
      <c r="S15">
        <v>40.89</v>
      </c>
      <c r="T15">
        <v>43.17</v>
      </c>
    </row>
    <row r="16" spans="1:20" x14ac:dyDescent="0.35">
      <c r="A16" t="s">
        <v>90</v>
      </c>
      <c r="B16" t="s">
        <v>91</v>
      </c>
      <c r="C16" t="s">
        <v>71</v>
      </c>
      <c r="D16">
        <v>26.93</v>
      </c>
      <c r="E16">
        <v>32.54</v>
      </c>
      <c r="F16">
        <v>33.65</v>
      </c>
      <c r="G16">
        <v>36.21</v>
      </c>
      <c r="H16">
        <v>39.880000000000003</v>
      </c>
      <c r="I16">
        <v>40.1</v>
      </c>
      <c r="J16">
        <v>42.04</v>
      </c>
      <c r="L16" t="s">
        <v>90</v>
      </c>
      <c r="M16" t="s">
        <v>91</v>
      </c>
      <c r="N16" t="s">
        <v>71</v>
      </c>
      <c r="O16">
        <v>32.549999999999997</v>
      </c>
      <c r="P16">
        <v>37.880000000000003</v>
      </c>
      <c r="Q16">
        <v>36.14</v>
      </c>
      <c r="R16">
        <v>38.729999999999997</v>
      </c>
      <c r="S16">
        <v>38.92</v>
      </c>
      <c r="T16">
        <v>40.65</v>
      </c>
    </row>
    <row r="17" spans="1:20" x14ac:dyDescent="0.35">
      <c r="A17" t="s">
        <v>90</v>
      </c>
      <c r="B17" t="s">
        <v>91</v>
      </c>
      <c r="C17" t="s">
        <v>72</v>
      </c>
      <c r="D17">
        <v>21.19</v>
      </c>
      <c r="E17">
        <v>26.37</v>
      </c>
      <c r="F17">
        <v>28</v>
      </c>
      <c r="G17">
        <v>30.59</v>
      </c>
      <c r="H17">
        <v>34.24</v>
      </c>
      <c r="I17">
        <v>35.31</v>
      </c>
      <c r="J17">
        <v>37.44</v>
      </c>
      <c r="L17" t="s">
        <v>90</v>
      </c>
      <c r="M17" t="s">
        <v>91</v>
      </c>
      <c r="N17" t="s">
        <v>72</v>
      </c>
      <c r="O17">
        <v>26.37</v>
      </c>
      <c r="P17">
        <v>31.51</v>
      </c>
      <c r="Q17">
        <v>30.52</v>
      </c>
      <c r="R17">
        <v>33.26</v>
      </c>
      <c r="S17">
        <v>34.29</v>
      </c>
      <c r="T17">
        <v>36.229999999999997</v>
      </c>
    </row>
    <row r="18" spans="1:20" x14ac:dyDescent="0.35">
      <c r="A18" t="s">
        <v>90</v>
      </c>
      <c r="B18" t="s">
        <v>91</v>
      </c>
      <c r="C18" t="s">
        <v>73</v>
      </c>
      <c r="D18">
        <v>16.77</v>
      </c>
      <c r="E18">
        <v>20.59</v>
      </c>
      <c r="F18">
        <v>21.2</v>
      </c>
      <c r="G18">
        <v>21.74</v>
      </c>
      <c r="H18">
        <v>23.75</v>
      </c>
      <c r="I18">
        <v>23</v>
      </c>
      <c r="J18">
        <v>23.83</v>
      </c>
      <c r="L18" t="s">
        <v>90</v>
      </c>
      <c r="M18" t="s">
        <v>91</v>
      </c>
      <c r="N18" t="s">
        <v>73</v>
      </c>
      <c r="O18">
        <v>20.57</v>
      </c>
      <c r="P18">
        <v>23.83</v>
      </c>
      <c r="Q18">
        <v>21.69</v>
      </c>
      <c r="R18">
        <v>23.07</v>
      </c>
      <c r="S18">
        <v>22.35</v>
      </c>
      <c r="T18">
        <v>23.06</v>
      </c>
    </row>
    <row r="19" spans="1:20" x14ac:dyDescent="0.35">
      <c r="A19" t="s">
        <v>90</v>
      </c>
      <c r="B19" t="s">
        <v>91</v>
      </c>
      <c r="C19" t="s">
        <v>74</v>
      </c>
      <c r="D19">
        <v>26.84</v>
      </c>
      <c r="E19">
        <v>32.9</v>
      </c>
      <c r="F19">
        <v>33.72</v>
      </c>
      <c r="G19">
        <v>34.15</v>
      </c>
      <c r="H19">
        <v>36.880000000000003</v>
      </c>
      <c r="I19">
        <v>35.700000000000003</v>
      </c>
      <c r="J19">
        <v>36.840000000000003</v>
      </c>
      <c r="L19" t="s">
        <v>90</v>
      </c>
      <c r="M19" t="s">
        <v>91</v>
      </c>
      <c r="N19" t="s">
        <v>74</v>
      </c>
      <c r="O19">
        <v>32.880000000000003</v>
      </c>
      <c r="P19">
        <v>37.94</v>
      </c>
      <c r="Q19">
        <v>34.07</v>
      </c>
      <c r="R19">
        <v>35.840000000000003</v>
      </c>
      <c r="S19">
        <v>34.67</v>
      </c>
      <c r="T19">
        <v>35.630000000000003</v>
      </c>
    </row>
    <row r="20" spans="1:20" x14ac:dyDescent="0.35">
      <c r="A20" t="s">
        <v>90</v>
      </c>
      <c r="B20" t="s">
        <v>91</v>
      </c>
      <c r="C20" t="s">
        <v>75</v>
      </c>
      <c r="D20">
        <v>16.79</v>
      </c>
      <c r="E20">
        <v>20.09</v>
      </c>
      <c r="F20">
        <v>20.78</v>
      </c>
      <c r="G20">
        <v>21.66</v>
      </c>
      <c r="H20">
        <v>23.47</v>
      </c>
      <c r="I20">
        <v>22.93</v>
      </c>
      <c r="J20">
        <v>23.63</v>
      </c>
      <c r="L20" t="s">
        <v>90</v>
      </c>
      <c r="M20" t="s">
        <v>91</v>
      </c>
      <c r="N20" t="s">
        <v>75</v>
      </c>
      <c r="O20">
        <v>20.079999999999998</v>
      </c>
      <c r="P20">
        <v>23.35</v>
      </c>
      <c r="Q20">
        <v>21.61</v>
      </c>
      <c r="R20">
        <v>22.81</v>
      </c>
      <c r="S20">
        <v>22.28</v>
      </c>
      <c r="T20">
        <v>22.87</v>
      </c>
    </row>
    <row r="21" spans="1:20" x14ac:dyDescent="0.35">
      <c r="A21" t="s">
        <v>90</v>
      </c>
      <c r="B21" t="s">
        <v>91</v>
      </c>
      <c r="C21" t="s">
        <v>76</v>
      </c>
      <c r="D21">
        <v>14.02</v>
      </c>
      <c r="E21">
        <v>17.03</v>
      </c>
      <c r="F21">
        <v>17.57</v>
      </c>
      <c r="G21">
        <v>18.89</v>
      </c>
      <c r="H21">
        <v>20.82</v>
      </c>
      <c r="I21">
        <v>20.86</v>
      </c>
      <c r="J21">
        <v>21.92</v>
      </c>
      <c r="L21" t="s">
        <v>90</v>
      </c>
      <c r="M21" t="s">
        <v>91</v>
      </c>
      <c r="N21" t="s">
        <v>76</v>
      </c>
      <c r="O21">
        <v>17.02</v>
      </c>
      <c r="P21">
        <v>19.760000000000002</v>
      </c>
      <c r="Q21">
        <v>18.850000000000001</v>
      </c>
      <c r="R21">
        <v>20.22</v>
      </c>
      <c r="S21">
        <v>20.25</v>
      </c>
      <c r="T21">
        <v>21.21</v>
      </c>
    </row>
    <row r="22" spans="1:20" x14ac:dyDescent="0.35">
      <c r="A22" t="s">
        <v>90</v>
      </c>
      <c r="B22" t="s">
        <v>91</v>
      </c>
      <c r="C22" t="s">
        <v>77</v>
      </c>
      <c r="D22">
        <v>11.21</v>
      </c>
      <c r="E22">
        <v>13.38</v>
      </c>
      <c r="F22">
        <v>13.94</v>
      </c>
      <c r="G22">
        <v>15.04</v>
      </c>
      <c r="H22">
        <v>16.45</v>
      </c>
      <c r="I22">
        <v>16.399999999999999</v>
      </c>
      <c r="J22">
        <v>17.079999999999998</v>
      </c>
      <c r="L22" t="s">
        <v>90</v>
      </c>
      <c r="M22" t="s">
        <v>91</v>
      </c>
      <c r="N22" t="s">
        <v>77</v>
      </c>
      <c r="O22">
        <v>13.35</v>
      </c>
      <c r="P22">
        <v>15.62</v>
      </c>
      <c r="Q22">
        <v>15</v>
      </c>
      <c r="R22">
        <v>15.99</v>
      </c>
      <c r="S22">
        <v>15.94</v>
      </c>
      <c r="T22">
        <v>16.55</v>
      </c>
    </row>
    <row r="23" spans="1:20" x14ac:dyDescent="0.35">
      <c r="A23" t="s">
        <v>90</v>
      </c>
      <c r="B23" t="s">
        <v>91</v>
      </c>
      <c r="C23" t="s">
        <v>78</v>
      </c>
      <c r="D23">
        <v>26.56</v>
      </c>
      <c r="E23">
        <v>32.93</v>
      </c>
      <c r="F23">
        <v>34.99</v>
      </c>
      <c r="G23">
        <v>38.619999999999997</v>
      </c>
      <c r="H23">
        <v>42.78</v>
      </c>
      <c r="I23">
        <v>43.84</v>
      </c>
      <c r="J23">
        <v>46.31</v>
      </c>
      <c r="L23" t="s">
        <v>90</v>
      </c>
      <c r="M23" t="s">
        <v>91</v>
      </c>
      <c r="N23" t="s">
        <v>78</v>
      </c>
      <c r="O23">
        <v>32.97</v>
      </c>
      <c r="P23">
        <v>39.43</v>
      </c>
      <c r="Q23">
        <v>38.520000000000003</v>
      </c>
      <c r="R23">
        <v>41.56</v>
      </c>
      <c r="S23">
        <v>42.55</v>
      </c>
      <c r="T23">
        <v>44.78</v>
      </c>
    </row>
    <row r="24" spans="1:20" x14ac:dyDescent="0.35">
      <c r="A24" t="s">
        <v>90</v>
      </c>
      <c r="B24" t="s">
        <v>91</v>
      </c>
      <c r="C24" t="s">
        <v>79</v>
      </c>
      <c r="D24">
        <v>11.65</v>
      </c>
      <c r="E24">
        <v>13.8</v>
      </c>
      <c r="F24">
        <v>14.66</v>
      </c>
      <c r="G24">
        <v>16.91</v>
      </c>
      <c r="H24">
        <v>19.09</v>
      </c>
      <c r="I24">
        <v>19.940000000000001</v>
      </c>
      <c r="J24">
        <v>21.36</v>
      </c>
      <c r="L24" t="s">
        <v>90</v>
      </c>
      <c r="M24" t="s">
        <v>91</v>
      </c>
      <c r="N24" t="s">
        <v>79</v>
      </c>
      <c r="O24">
        <v>13.76</v>
      </c>
      <c r="P24">
        <v>16.37</v>
      </c>
      <c r="Q24">
        <v>16.87</v>
      </c>
      <c r="R24">
        <v>18.579999999999998</v>
      </c>
      <c r="S24">
        <v>19.41</v>
      </c>
      <c r="T24">
        <v>20.72</v>
      </c>
    </row>
    <row r="25" spans="1:20" x14ac:dyDescent="0.35">
      <c r="A25" t="s">
        <v>90</v>
      </c>
      <c r="B25" t="s">
        <v>91</v>
      </c>
      <c r="C25" t="s">
        <v>80</v>
      </c>
      <c r="D25">
        <v>16.649999999999999</v>
      </c>
      <c r="E25">
        <v>20.22</v>
      </c>
      <c r="F25">
        <v>21.41</v>
      </c>
      <c r="G25">
        <v>24.3</v>
      </c>
      <c r="H25">
        <v>27.68</v>
      </c>
      <c r="I25">
        <v>29.11</v>
      </c>
      <c r="J25">
        <v>31.32</v>
      </c>
      <c r="L25" t="s">
        <v>90</v>
      </c>
      <c r="M25" t="s">
        <v>91</v>
      </c>
      <c r="N25" t="s">
        <v>80</v>
      </c>
      <c r="O25">
        <v>20.21</v>
      </c>
      <c r="P25">
        <v>24.02</v>
      </c>
      <c r="Q25">
        <v>24.24</v>
      </c>
      <c r="R25">
        <v>26.95</v>
      </c>
      <c r="S25">
        <v>28.32</v>
      </c>
      <c r="T25">
        <v>30.36</v>
      </c>
    </row>
    <row r="26" spans="1:20" x14ac:dyDescent="0.35">
      <c r="A26" t="s">
        <v>90</v>
      </c>
      <c r="B26" t="s">
        <v>91</v>
      </c>
      <c r="C26" t="s">
        <v>81</v>
      </c>
      <c r="D26">
        <v>13</v>
      </c>
      <c r="E26">
        <v>15.67</v>
      </c>
      <c r="F26">
        <v>16.559999999999999</v>
      </c>
      <c r="G26">
        <v>17.79</v>
      </c>
      <c r="H26">
        <v>19.57</v>
      </c>
      <c r="I26">
        <v>19.73</v>
      </c>
      <c r="J26">
        <v>20.53</v>
      </c>
      <c r="L26" t="s">
        <v>90</v>
      </c>
      <c r="M26" t="s">
        <v>91</v>
      </c>
      <c r="N26" t="s">
        <v>81</v>
      </c>
      <c r="O26">
        <v>15.63</v>
      </c>
      <c r="P26">
        <v>18.54</v>
      </c>
      <c r="Q26">
        <v>17.75</v>
      </c>
      <c r="R26">
        <v>19.059999999999999</v>
      </c>
      <c r="S26">
        <v>19.22</v>
      </c>
      <c r="T26">
        <v>19.91</v>
      </c>
    </row>
    <row r="27" spans="1:20" x14ac:dyDescent="0.35">
      <c r="A27" t="s">
        <v>90</v>
      </c>
      <c r="B27" t="s">
        <v>91</v>
      </c>
      <c r="C27" t="s">
        <v>82</v>
      </c>
      <c r="D27">
        <v>35.42</v>
      </c>
      <c r="E27">
        <v>43.02</v>
      </c>
      <c r="F27">
        <v>44.9</v>
      </c>
      <c r="G27">
        <v>48.48</v>
      </c>
      <c r="H27">
        <v>53.32</v>
      </c>
      <c r="I27">
        <v>53.67</v>
      </c>
      <c r="J27">
        <v>56.14</v>
      </c>
      <c r="L27" t="s">
        <v>90</v>
      </c>
      <c r="M27" t="s">
        <v>91</v>
      </c>
      <c r="N27" t="s">
        <v>82</v>
      </c>
      <c r="O27">
        <v>42.99</v>
      </c>
      <c r="P27">
        <v>50.41</v>
      </c>
      <c r="Q27">
        <v>48.35</v>
      </c>
      <c r="R27">
        <v>51.88</v>
      </c>
      <c r="S27">
        <v>52.19</v>
      </c>
      <c r="T27">
        <v>54.39</v>
      </c>
    </row>
  </sheetData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B8A87-5894-451E-8F93-9E6C8A286C2B}">
  <sheetPr>
    <tabColor rgb="FFD9D9D9"/>
  </sheetPr>
  <dimension ref="A1:D87"/>
  <sheetViews>
    <sheetView topLeftCell="A34" workbookViewId="0">
      <selection activeCell="B75" sqref="B75"/>
    </sheetView>
  </sheetViews>
  <sheetFormatPr defaultColWidth="20.81640625" defaultRowHeight="12.5" x14ac:dyDescent="0.25"/>
  <cols>
    <col min="1" max="16384" width="20.81640625" style="2"/>
  </cols>
  <sheetData>
    <row r="1" spans="1:2" x14ac:dyDescent="0.25">
      <c r="A1" s="2" t="s">
        <v>36</v>
      </c>
    </row>
    <row r="2" spans="1:2" x14ac:dyDescent="0.25">
      <c r="A2" s="2" t="s">
        <v>37</v>
      </c>
    </row>
    <row r="3" spans="1:2" x14ac:dyDescent="0.25">
      <c r="A3" s="2" t="s">
        <v>38</v>
      </c>
    </row>
    <row r="4" spans="1:2" x14ac:dyDescent="0.25">
      <c r="A4" s="2" t="s">
        <v>39</v>
      </c>
    </row>
    <row r="5" spans="1:2" x14ac:dyDescent="0.25">
      <c r="A5" s="2" t="s">
        <v>40</v>
      </c>
    </row>
    <row r="6" spans="1:2" x14ac:dyDescent="0.25">
      <c r="A6" s="2" t="s">
        <v>41</v>
      </c>
    </row>
    <row r="8" spans="1:2" x14ac:dyDescent="0.25">
      <c r="A8" s="2" t="s">
        <v>42</v>
      </c>
      <c r="B8" s="2" t="s">
        <v>43</v>
      </c>
    </row>
    <row r="10" spans="1:2" x14ac:dyDescent="0.25">
      <c r="A10" s="2" t="s">
        <v>44</v>
      </c>
    </row>
    <row r="11" spans="1:2" x14ac:dyDescent="0.25">
      <c r="A11" s="2" t="s">
        <v>45</v>
      </c>
      <c r="B11" s="2" t="s">
        <v>42</v>
      </c>
    </row>
    <row r="12" spans="1:2" x14ac:dyDescent="0.25">
      <c r="A12" s="3">
        <v>17168</v>
      </c>
      <c r="B12" s="4">
        <v>12.2575</v>
      </c>
    </row>
    <row r="13" spans="1:2" x14ac:dyDescent="0.25">
      <c r="A13" s="3">
        <v>17533</v>
      </c>
      <c r="B13" s="4">
        <v>12.945499999999999</v>
      </c>
    </row>
    <row r="14" spans="1:2" x14ac:dyDescent="0.25">
      <c r="A14" s="3">
        <v>17899</v>
      </c>
      <c r="B14" s="4">
        <v>12.925750000000001</v>
      </c>
    </row>
    <row r="15" spans="1:2" x14ac:dyDescent="0.25">
      <c r="A15" s="3">
        <v>18264</v>
      </c>
      <c r="B15" s="4">
        <v>13.079000000000001</v>
      </c>
    </row>
    <row r="16" spans="1:2" x14ac:dyDescent="0.25">
      <c r="A16" s="3">
        <v>18629</v>
      </c>
      <c r="B16" s="4">
        <v>14.013</v>
      </c>
    </row>
    <row r="17" spans="1:2" x14ac:dyDescent="0.25">
      <c r="A17" s="3">
        <v>18994</v>
      </c>
      <c r="B17" s="4">
        <v>14.255000000000001</v>
      </c>
    </row>
    <row r="18" spans="1:2" x14ac:dyDescent="0.25">
      <c r="A18" s="3">
        <v>19360</v>
      </c>
      <c r="B18" s="4">
        <v>14.429500000000001</v>
      </c>
    </row>
    <row r="19" spans="1:2" x14ac:dyDescent="0.25">
      <c r="A19" s="3">
        <v>19725</v>
      </c>
      <c r="B19" s="4">
        <v>14.562250000000001</v>
      </c>
    </row>
    <row r="20" spans="1:2" x14ac:dyDescent="0.25">
      <c r="A20" s="3">
        <v>20090</v>
      </c>
      <c r="B20" s="4">
        <v>14.807</v>
      </c>
    </row>
    <row r="21" spans="1:2" x14ac:dyDescent="0.25">
      <c r="A21" s="3">
        <v>20455</v>
      </c>
      <c r="B21" s="4">
        <v>15.3125</v>
      </c>
    </row>
    <row r="22" spans="1:2" x14ac:dyDescent="0.25">
      <c r="A22" s="3">
        <v>20821</v>
      </c>
      <c r="B22" s="4">
        <v>15.821249999999999</v>
      </c>
    </row>
    <row r="23" spans="1:2" x14ac:dyDescent="0.25">
      <c r="A23" s="3">
        <v>21186</v>
      </c>
      <c r="B23" s="4">
        <v>16.179500000000001</v>
      </c>
    </row>
    <row r="24" spans="1:2" x14ac:dyDescent="0.25">
      <c r="A24" s="3">
        <v>21551</v>
      </c>
      <c r="B24" s="4">
        <v>16.4025</v>
      </c>
    </row>
    <row r="25" spans="1:2" x14ac:dyDescent="0.25">
      <c r="A25" s="3">
        <v>21916</v>
      </c>
      <c r="B25" s="4">
        <v>16.62725</v>
      </c>
    </row>
    <row r="26" spans="1:2" x14ac:dyDescent="0.25">
      <c r="A26" s="3">
        <v>22282</v>
      </c>
      <c r="B26" s="4">
        <v>16.803000000000001</v>
      </c>
    </row>
    <row r="27" spans="1:2" x14ac:dyDescent="0.25">
      <c r="A27" s="3">
        <v>22647</v>
      </c>
      <c r="B27" s="4">
        <v>17.00825</v>
      </c>
    </row>
    <row r="28" spans="1:2" x14ac:dyDescent="0.25">
      <c r="A28" s="3">
        <v>23012</v>
      </c>
      <c r="B28" s="4">
        <v>17.202750000000002</v>
      </c>
    </row>
    <row r="29" spans="1:2" x14ac:dyDescent="0.25">
      <c r="A29" s="3">
        <v>23377</v>
      </c>
      <c r="B29" s="4">
        <v>17.465499999999999</v>
      </c>
    </row>
    <row r="30" spans="1:2" x14ac:dyDescent="0.25">
      <c r="A30" s="3">
        <v>23743</v>
      </c>
      <c r="B30" s="4">
        <v>17.783750000000001</v>
      </c>
    </row>
    <row r="31" spans="1:2" x14ac:dyDescent="0.25">
      <c r="A31" s="3">
        <v>24108</v>
      </c>
      <c r="B31" s="4">
        <v>18.28275</v>
      </c>
    </row>
    <row r="32" spans="1:2" x14ac:dyDescent="0.25">
      <c r="A32" s="3">
        <v>24473</v>
      </c>
      <c r="B32" s="4">
        <v>18.81325</v>
      </c>
    </row>
    <row r="33" spans="1:2" x14ac:dyDescent="0.25">
      <c r="A33" s="3">
        <v>24838</v>
      </c>
      <c r="B33" s="4">
        <v>19.613</v>
      </c>
    </row>
    <row r="34" spans="1:2" x14ac:dyDescent="0.25">
      <c r="A34" s="3">
        <v>25204</v>
      </c>
      <c r="B34" s="4">
        <v>20.577000000000002</v>
      </c>
    </row>
    <row r="35" spans="1:2" x14ac:dyDescent="0.25">
      <c r="A35" s="3">
        <v>25569</v>
      </c>
      <c r="B35" s="4">
        <v>21.663250000000001</v>
      </c>
    </row>
    <row r="36" spans="1:2" x14ac:dyDescent="0.25">
      <c r="A36" s="3">
        <v>25934</v>
      </c>
      <c r="B36" s="4">
        <v>22.75975</v>
      </c>
    </row>
    <row r="37" spans="1:2" x14ac:dyDescent="0.25">
      <c r="A37" s="3">
        <v>26299</v>
      </c>
      <c r="B37" s="4">
        <v>23.741250000000001</v>
      </c>
    </row>
    <row r="38" spans="1:2" x14ac:dyDescent="0.25">
      <c r="A38" s="3">
        <v>26665</v>
      </c>
      <c r="B38" s="4">
        <v>25.044499999999999</v>
      </c>
    </row>
    <row r="39" spans="1:2" x14ac:dyDescent="0.25">
      <c r="A39" s="3">
        <v>27030</v>
      </c>
      <c r="B39" s="4">
        <v>27.304749999999999</v>
      </c>
    </row>
    <row r="40" spans="1:2" x14ac:dyDescent="0.25">
      <c r="A40" s="3">
        <v>27395</v>
      </c>
      <c r="B40" s="4">
        <v>29.8215</v>
      </c>
    </row>
    <row r="41" spans="1:2" x14ac:dyDescent="0.25">
      <c r="A41" s="3">
        <v>27760</v>
      </c>
      <c r="B41" s="4">
        <v>31.467500000000001</v>
      </c>
    </row>
    <row r="42" spans="1:2" x14ac:dyDescent="0.25">
      <c r="A42" s="3">
        <v>28126</v>
      </c>
      <c r="B42" s="4">
        <v>33.418500000000002</v>
      </c>
    </row>
    <row r="43" spans="1:2" x14ac:dyDescent="0.25">
      <c r="A43" s="3">
        <v>28491</v>
      </c>
      <c r="B43" s="4">
        <v>35.761749999999999</v>
      </c>
    </row>
    <row r="44" spans="1:2" x14ac:dyDescent="0.25">
      <c r="A44" s="3">
        <v>28856</v>
      </c>
      <c r="B44" s="4">
        <v>38.741500000000002</v>
      </c>
    </row>
    <row r="45" spans="1:2" x14ac:dyDescent="0.25">
      <c r="A45" s="3">
        <v>29221</v>
      </c>
      <c r="B45" s="4">
        <v>42.247</v>
      </c>
    </row>
    <row r="46" spans="1:2" x14ac:dyDescent="0.25">
      <c r="A46" s="3">
        <v>29587</v>
      </c>
      <c r="B46" s="4">
        <v>46.244</v>
      </c>
    </row>
    <row r="47" spans="1:2" x14ac:dyDescent="0.25">
      <c r="A47" s="3">
        <v>29952</v>
      </c>
      <c r="B47" s="4">
        <v>49.100499999999997</v>
      </c>
    </row>
    <row r="48" spans="1:2" x14ac:dyDescent="0.25">
      <c r="A48" s="3">
        <v>30317</v>
      </c>
      <c r="B48" s="4">
        <v>51.012</v>
      </c>
    </row>
    <row r="49" spans="1:2" x14ac:dyDescent="0.25">
      <c r="A49" s="3">
        <v>30682</v>
      </c>
      <c r="B49" s="4">
        <v>52.857750000000003</v>
      </c>
    </row>
    <row r="50" spans="1:2" x14ac:dyDescent="0.25">
      <c r="A50" s="3">
        <v>31048</v>
      </c>
      <c r="B50" s="4">
        <v>54.531500000000001</v>
      </c>
    </row>
    <row r="51" spans="1:2" x14ac:dyDescent="0.25">
      <c r="A51" s="3">
        <v>31413</v>
      </c>
      <c r="B51" s="4">
        <v>55.6325</v>
      </c>
    </row>
    <row r="52" spans="1:2" x14ac:dyDescent="0.25">
      <c r="A52" s="3">
        <v>31778</v>
      </c>
      <c r="B52" s="4">
        <v>57.003749999999997</v>
      </c>
    </row>
    <row r="53" spans="1:2" x14ac:dyDescent="0.25">
      <c r="A53" s="3">
        <v>32143</v>
      </c>
      <c r="B53" s="4">
        <v>59.013249999999999</v>
      </c>
    </row>
    <row r="54" spans="1:2" x14ac:dyDescent="0.25">
      <c r="A54" s="3">
        <v>32509</v>
      </c>
      <c r="B54" s="4">
        <v>61.331249999999997</v>
      </c>
    </row>
    <row r="55" spans="1:2" x14ac:dyDescent="0.25">
      <c r="A55" s="3">
        <v>32874</v>
      </c>
      <c r="B55" s="4">
        <v>63.631500000000003</v>
      </c>
    </row>
    <row r="56" spans="1:2" x14ac:dyDescent="0.25">
      <c r="A56" s="3">
        <v>33239</v>
      </c>
      <c r="B56" s="4">
        <v>65.779499999999999</v>
      </c>
    </row>
    <row r="57" spans="1:2" x14ac:dyDescent="0.25">
      <c r="A57" s="3">
        <v>33604</v>
      </c>
      <c r="B57" s="4">
        <v>67.276750000000007</v>
      </c>
    </row>
    <row r="58" spans="1:2" x14ac:dyDescent="0.25">
      <c r="A58" s="3">
        <v>33970</v>
      </c>
      <c r="B58" s="4">
        <v>68.872749999999996</v>
      </c>
    </row>
    <row r="59" spans="1:2" x14ac:dyDescent="0.25">
      <c r="A59" s="3">
        <v>34335</v>
      </c>
      <c r="B59" s="4">
        <v>70.342500000000001</v>
      </c>
    </row>
    <row r="60" spans="1:2" x14ac:dyDescent="0.25">
      <c r="A60" s="3">
        <v>34700</v>
      </c>
      <c r="B60" s="4">
        <v>71.819749999999999</v>
      </c>
    </row>
    <row r="61" spans="1:2" x14ac:dyDescent="0.25">
      <c r="A61" s="3">
        <v>35065</v>
      </c>
      <c r="B61" s="4">
        <v>73.132999999999996</v>
      </c>
    </row>
    <row r="62" spans="1:2" x14ac:dyDescent="0.25">
      <c r="A62" s="3">
        <v>35431</v>
      </c>
      <c r="B62" s="4">
        <v>74.394750000000002</v>
      </c>
    </row>
    <row r="63" spans="1:2" x14ac:dyDescent="0.25">
      <c r="A63" s="3">
        <v>35796</v>
      </c>
      <c r="B63" s="4">
        <v>75.232249999999993</v>
      </c>
    </row>
    <row r="64" spans="1:2" x14ac:dyDescent="0.25">
      <c r="A64" s="3">
        <v>36161</v>
      </c>
      <c r="B64" s="4">
        <v>76.291250000000005</v>
      </c>
    </row>
    <row r="65" spans="1:2" x14ac:dyDescent="0.25">
      <c r="A65" s="3">
        <v>36526</v>
      </c>
      <c r="B65" s="4">
        <v>78.020750000000007</v>
      </c>
    </row>
    <row r="66" spans="1:2" x14ac:dyDescent="0.25">
      <c r="A66" s="3">
        <v>36892</v>
      </c>
      <c r="B66" s="4">
        <v>79.781999999999996</v>
      </c>
    </row>
    <row r="67" spans="1:2" x14ac:dyDescent="0.25">
      <c r="A67" s="3">
        <v>37257</v>
      </c>
      <c r="B67" s="4">
        <v>81.024249999999995</v>
      </c>
    </row>
    <row r="68" spans="1:2" x14ac:dyDescent="0.25">
      <c r="A68" s="3">
        <v>37622</v>
      </c>
      <c r="B68" s="4">
        <v>82.618750000000006</v>
      </c>
    </row>
    <row r="69" spans="1:2" x14ac:dyDescent="0.25">
      <c r="A69" s="3">
        <v>37987</v>
      </c>
      <c r="B69" s="4">
        <v>84.836500000000001</v>
      </c>
    </row>
    <row r="70" spans="1:2" x14ac:dyDescent="0.25">
      <c r="A70" s="3">
        <v>38353</v>
      </c>
      <c r="B70" s="4">
        <v>87.498500000000007</v>
      </c>
    </row>
    <row r="71" spans="1:2" x14ac:dyDescent="0.25">
      <c r="A71" s="3">
        <v>38718</v>
      </c>
      <c r="B71" s="4">
        <v>90.200999999999993</v>
      </c>
    </row>
    <row r="72" spans="1:2" x14ac:dyDescent="0.25">
      <c r="A72" s="3">
        <v>39083</v>
      </c>
      <c r="B72" s="4">
        <v>92.638000000000005</v>
      </c>
    </row>
    <row r="73" spans="1:2" x14ac:dyDescent="0.25">
      <c r="A73" s="3">
        <v>39448</v>
      </c>
      <c r="B73" s="4">
        <v>94.422499999999999</v>
      </c>
    </row>
    <row r="74" spans="1:2" x14ac:dyDescent="0.25">
      <c r="A74" s="3">
        <v>39814</v>
      </c>
      <c r="B74" s="4">
        <v>95.022750000000002</v>
      </c>
    </row>
    <row r="75" spans="1:2" x14ac:dyDescent="0.25">
      <c r="A75" s="3">
        <v>40179</v>
      </c>
      <c r="B75" s="4">
        <v>96.161500000000004</v>
      </c>
    </row>
    <row r="76" spans="1:2" x14ac:dyDescent="0.25">
      <c r="A76" s="3">
        <v>40544</v>
      </c>
      <c r="B76" s="4">
        <v>98.161000000000001</v>
      </c>
    </row>
    <row r="77" spans="1:2" x14ac:dyDescent="0.25">
      <c r="A77" s="3">
        <v>40909</v>
      </c>
      <c r="B77" s="4">
        <v>99.998500000000007</v>
      </c>
    </row>
    <row r="78" spans="1:2" x14ac:dyDescent="0.25">
      <c r="A78" s="3">
        <v>41275</v>
      </c>
      <c r="B78" s="4">
        <v>101.7475</v>
      </c>
    </row>
    <row r="79" spans="1:2" x14ac:dyDescent="0.25">
      <c r="A79" s="3">
        <v>41640</v>
      </c>
      <c r="B79" s="4">
        <v>103.6485</v>
      </c>
    </row>
    <row r="80" spans="1:2" x14ac:dyDescent="0.25">
      <c r="A80" s="3">
        <v>42005</v>
      </c>
      <c r="B80" s="4">
        <v>104.6895</v>
      </c>
    </row>
    <row r="81" spans="1:4" x14ac:dyDescent="0.25">
      <c r="A81" s="3">
        <v>42370</v>
      </c>
      <c r="B81" s="4">
        <v>105.73675</v>
      </c>
    </row>
    <row r="82" spans="1:4" x14ac:dyDescent="0.25">
      <c r="A82" s="3">
        <v>42736</v>
      </c>
      <c r="B82" s="4">
        <v>107.74175</v>
      </c>
    </row>
    <row r="83" spans="1:4" x14ac:dyDescent="0.25">
      <c r="A83" s="3">
        <v>43101</v>
      </c>
      <c r="B83" s="4">
        <v>110.31675</v>
      </c>
    </row>
    <row r="84" spans="1:4" x14ac:dyDescent="0.25">
      <c r="A84" s="3">
        <v>43466</v>
      </c>
      <c r="B84" s="4">
        <v>112.29025</v>
      </c>
    </row>
    <row r="85" spans="1:4" x14ac:dyDescent="0.25">
      <c r="A85" s="3">
        <v>43831</v>
      </c>
      <c r="B85" s="4">
        <v>113.633</v>
      </c>
    </row>
    <row r="86" spans="1:4" x14ac:dyDescent="0.25">
      <c r="A86" s="3">
        <v>44197</v>
      </c>
      <c r="B86" s="4">
        <v>118.342</v>
      </c>
    </row>
    <row r="87" spans="1:4" x14ac:dyDescent="0.25">
      <c r="A87" s="3">
        <v>44562</v>
      </c>
      <c r="B87" s="5">
        <v>126.26900000000001</v>
      </c>
      <c r="D87" s="2" t="s">
        <v>46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D6918-858E-4AC3-AD27-A5B5F76A7B90}">
  <sheetPr>
    <tabColor theme="5" tint="0.79998168889431442"/>
  </sheetPr>
  <dimension ref="A1:Q27"/>
  <sheetViews>
    <sheetView zoomScale="69" zoomScaleNormal="70" workbookViewId="0">
      <selection activeCell="M10" sqref="M10"/>
    </sheetView>
  </sheetViews>
  <sheetFormatPr defaultRowHeight="14.5" x14ac:dyDescent="0.35"/>
  <cols>
    <col min="1" max="1" width="14.6328125" customWidth="1"/>
    <col min="2" max="2" width="11.81640625" customWidth="1"/>
    <col min="3" max="6" width="11.36328125" bestFit="1" customWidth="1"/>
    <col min="7" max="8" width="11.36328125" customWidth="1"/>
    <col min="10" max="10" width="24.7265625" customWidth="1"/>
    <col min="11" max="15" width="9.36328125" bestFit="1" customWidth="1"/>
  </cols>
  <sheetData>
    <row r="1" spans="1:17" x14ac:dyDescent="0.35">
      <c r="A1" s="10" t="s">
        <v>34</v>
      </c>
      <c r="J1" s="10" t="s">
        <v>33</v>
      </c>
    </row>
    <row r="3" spans="1:17" x14ac:dyDescent="0.35">
      <c r="A3" t="s">
        <v>32</v>
      </c>
      <c r="J3" t="s">
        <v>15</v>
      </c>
    </row>
    <row r="4" spans="1:17" x14ac:dyDescent="0.35">
      <c r="B4">
        <v>2020</v>
      </c>
      <c r="C4">
        <v>2025</v>
      </c>
      <c r="D4">
        <v>2030</v>
      </c>
      <c r="E4">
        <v>2035</v>
      </c>
      <c r="F4">
        <v>2040</v>
      </c>
      <c r="G4">
        <v>2045</v>
      </c>
      <c r="H4">
        <v>2050</v>
      </c>
      <c r="J4" s="8"/>
      <c r="K4" s="8">
        <v>2020</v>
      </c>
      <c r="L4" s="8">
        <v>2025</v>
      </c>
      <c r="M4" s="8">
        <v>2030</v>
      </c>
      <c r="N4" s="8">
        <v>2035</v>
      </c>
      <c r="O4" s="8">
        <v>2040</v>
      </c>
      <c r="P4" s="8">
        <v>2045</v>
      </c>
      <c r="Q4" s="8">
        <v>2050</v>
      </c>
    </row>
    <row r="5" spans="1:17" x14ac:dyDescent="0.35">
      <c r="A5" t="s">
        <v>0</v>
      </c>
      <c r="B5">
        <v>95.8</v>
      </c>
      <c r="C5">
        <v>106.7</v>
      </c>
      <c r="D5">
        <v>118.2</v>
      </c>
      <c r="E5">
        <v>122.4</v>
      </c>
      <c r="F5">
        <v>125.2</v>
      </c>
      <c r="G5">
        <v>126.6</v>
      </c>
      <c r="H5">
        <v>127.7</v>
      </c>
      <c r="J5" s="8" t="s">
        <v>48</v>
      </c>
      <c r="K5" s="9">
        <f>SUM(B6,B25)*$B$27</f>
        <v>413.4608838517712</v>
      </c>
      <c r="L5" s="9">
        <f>SUM(C6,C25)*$B$27</f>
        <v>469.42525086087909</v>
      </c>
      <c r="M5" s="9">
        <f>SUM(D6,D25)*$B$27</f>
        <v>475.69711957741703</v>
      </c>
      <c r="N5" s="9">
        <f>SUM(E6,E25)*$B$27</f>
        <v>481.96898829395502</v>
      </c>
      <c r="O5" s="9">
        <f>SUM(F6,F25)*$B$27</f>
        <v>505.72972170083915</v>
      </c>
      <c r="P5" s="9">
        <f t="shared" ref="P5:Q5" si="0">SUM(G6,G25)*$B$27</f>
        <v>519.84142631304951</v>
      </c>
      <c r="Q5" s="9">
        <f t="shared" si="0"/>
        <v>520.44449061271666</v>
      </c>
    </row>
    <row r="6" spans="1:17" x14ac:dyDescent="0.35">
      <c r="A6" t="s">
        <v>1</v>
      </c>
      <c r="B6">
        <v>342.8</v>
      </c>
      <c r="C6">
        <v>389.2</v>
      </c>
      <c r="D6">
        <v>394.4</v>
      </c>
      <c r="E6">
        <v>399.6</v>
      </c>
      <c r="F6">
        <v>419.3</v>
      </c>
      <c r="G6">
        <v>431</v>
      </c>
      <c r="H6">
        <v>431.5</v>
      </c>
      <c r="J6" s="8" t="s">
        <v>49</v>
      </c>
      <c r="K6" s="9">
        <f>B21*$B$27</f>
        <v>115.54711981621843</v>
      </c>
      <c r="L6" s="9">
        <f>C21*$B$27</f>
        <v>128.69392154896147</v>
      </c>
      <c r="M6" s="9">
        <f>D21*$B$27</f>
        <v>142.564400441305</v>
      </c>
      <c r="N6" s="9">
        <f>E21*$B$27</f>
        <v>147.63014055850874</v>
      </c>
      <c r="O6" s="9">
        <f>F21*$B$27</f>
        <v>151.00730063664454</v>
      </c>
      <c r="P6" s="9">
        <f t="shared" ref="P6:Q6" si="1">G21*$B$27</f>
        <v>152.69588067571246</v>
      </c>
      <c r="Q6" s="9">
        <f t="shared" si="1"/>
        <v>154.02262213498011</v>
      </c>
    </row>
    <row r="7" spans="1:17" x14ac:dyDescent="0.35">
      <c r="A7" t="s">
        <v>2</v>
      </c>
      <c r="B7">
        <v>696.7</v>
      </c>
      <c r="C7">
        <v>677.1</v>
      </c>
      <c r="D7">
        <v>659.5</v>
      </c>
      <c r="E7">
        <v>626.4</v>
      </c>
      <c r="F7">
        <v>579.9</v>
      </c>
      <c r="G7">
        <v>545</v>
      </c>
      <c r="H7">
        <v>503.8</v>
      </c>
      <c r="J7" s="8" t="s">
        <v>50</v>
      </c>
      <c r="K7" s="9">
        <f>B23*$B$27</f>
        <v>724.76267533993393</v>
      </c>
      <c r="L7" s="9">
        <f>C23*$B$27</f>
        <v>687.97575306023998</v>
      </c>
      <c r="M7" s="9">
        <f>D23*$B$27</f>
        <v>652.87741081961417</v>
      </c>
      <c r="N7" s="9">
        <f>E23*$B$27</f>
        <v>607.88881406444773</v>
      </c>
      <c r="O7" s="9">
        <f>F23*$B$27</f>
        <v>548.42667411727064</v>
      </c>
      <c r="P7" s="9">
        <f t="shared" ref="P7:Q7" si="2">G23*$B$27</f>
        <v>504.64420596143833</v>
      </c>
      <c r="Q7" s="9">
        <f t="shared" si="2"/>
        <v>453.62496620960081</v>
      </c>
    </row>
    <row r="8" spans="1:17" x14ac:dyDescent="0.35">
      <c r="A8" t="s">
        <v>3</v>
      </c>
      <c r="B8">
        <v>-0.4</v>
      </c>
      <c r="C8">
        <v>-0.2</v>
      </c>
      <c r="D8">
        <v>0.3</v>
      </c>
      <c r="E8">
        <v>0.5</v>
      </c>
      <c r="F8">
        <v>-0.1</v>
      </c>
      <c r="G8">
        <v>0.2</v>
      </c>
      <c r="H8">
        <v>1.3</v>
      </c>
      <c r="J8" s="8" t="s">
        <v>19</v>
      </c>
      <c r="K8" s="9">
        <f>SUM(B10:B11,B16)*$B$27</f>
        <v>267.39871047239694</v>
      </c>
      <c r="L8" s="9">
        <f>SUM(C10:C11,C16)*$B$27</f>
        <v>281.38980222467393</v>
      </c>
      <c r="M8" s="9">
        <f>SUM(D10:D11,D16)*$B$27</f>
        <v>277.04773926707071</v>
      </c>
      <c r="N8" s="9">
        <f>SUM(E10:E11,E16)*$B$27</f>
        <v>274.99732064820256</v>
      </c>
      <c r="O8" s="9">
        <f>SUM(F10:F11,F16)*$B$27</f>
        <v>275.11793350813599</v>
      </c>
      <c r="P8" s="9">
        <f t="shared" ref="P8:Q8" si="3">SUM(G10:G11,G16)*$B$27</f>
        <v>276.32406210747018</v>
      </c>
      <c r="Q8" s="9">
        <f t="shared" si="3"/>
        <v>274.63548206840227</v>
      </c>
    </row>
    <row r="9" spans="1:17" x14ac:dyDescent="0.35">
      <c r="A9" t="s">
        <v>4</v>
      </c>
      <c r="B9">
        <v>696.7</v>
      </c>
      <c r="C9">
        <v>677.1</v>
      </c>
      <c r="D9">
        <v>659.5</v>
      </c>
      <c r="E9">
        <v>626.4</v>
      </c>
      <c r="F9">
        <v>579.9</v>
      </c>
      <c r="G9">
        <v>545</v>
      </c>
      <c r="H9">
        <v>503.8</v>
      </c>
      <c r="J9" s="8" t="s">
        <v>20</v>
      </c>
      <c r="K9" s="9">
        <f>B12*$B$27</f>
        <v>291.0388310193477</v>
      </c>
      <c r="L9" s="9">
        <f>C12*$B$27</f>
        <v>301.77337555342223</v>
      </c>
      <c r="M9" s="9">
        <f>D12*$B$27</f>
        <v>284.28451086307604</v>
      </c>
      <c r="N9" s="9">
        <f>E12*$B$27</f>
        <v>289.10902526041292</v>
      </c>
      <c r="O9" s="9">
        <f>F12*$B$27</f>
        <v>298.51682833521988</v>
      </c>
      <c r="P9" s="9">
        <f t="shared" ref="P9:Q9" si="4">G12*$B$27</f>
        <v>300.68785981402146</v>
      </c>
      <c r="Q9" s="9">
        <f t="shared" si="4"/>
        <v>306.35666423089231</v>
      </c>
    </row>
    <row r="10" spans="1:17" x14ac:dyDescent="0.35">
      <c r="A10" t="s">
        <v>5</v>
      </c>
      <c r="B10">
        <v>115.7</v>
      </c>
      <c r="C10">
        <v>125</v>
      </c>
      <c r="D10">
        <v>122.1</v>
      </c>
      <c r="E10">
        <v>121.2</v>
      </c>
      <c r="F10">
        <v>122.9</v>
      </c>
      <c r="G10">
        <v>124.5</v>
      </c>
      <c r="H10">
        <v>125</v>
      </c>
      <c r="J10" s="8" t="s">
        <v>21</v>
      </c>
      <c r="K10" s="9">
        <f>SUM(B13:B15)*$B$27</f>
        <v>1802.0767402652605</v>
      </c>
      <c r="L10" s="9">
        <f>SUM(C13:C15)*$B$27</f>
        <v>1979.2570315074577</v>
      </c>
      <c r="M10" s="9">
        <f>SUM(D13:D15)*$B$27</f>
        <v>2065.3746134999215</v>
      </c>
      <c r="N10" s="9">
        <f>SUM(E13:E15)*$B$27</f>
        <v>2060.3088733827176</v>
      </c>
      <c r="O10" s="9">
        <f>SUM(F13:F15)*$B$27</f>
        <v>2129.2994292646349</v>
      </c>
      <c r="P10" s="9">
        <f t="shared" ref="P10:Q10" si="5">SUM(G13:G15)*$B$27</f>
        <v>2165.8451258244618</v>
      </c>
      <c r="Q10" s="9">
        <f t="shared" si="5"/>
        <v>2217.2262041560998</v>
      </c>
    </row>
    <row r="11" spans="1:17" x14ac:dyDescent="0.35">
      <c r="A11" t="s">
        <v>6</v>
      </c>
      <c r="B11">
        <v>106</v>
      </c>
      <c r="C11">
        <v>108.3</v>
      </c>
      <c r="D11">
        <v>107.6</v>
      </c>
      <c r="E11">
        <v>106.8</v>
      </c>
      <c r="F11">
        <v>105.2</v>
      </c>
      <c r="G11">
        <v>104.6</v>
      </c>
      <c r="H11">
        <v>102.7</v>
      </c>
      <c r="J11" s="8" t="s">
        <v>55</v>
      </c>
      <c r="K11" s="9">
        <f>SUM(K5:K10)</f>
        <v>3614.2849607649287</v>
      </c>
      <c r="L11" s="9">
        <f>SUM(L5:L10)</f>
        <v>3848.5151347556343</v>
      </c>
      <c r="M11" s="9">
        <f>SUM(M5:M10)</f>
        <v>3897.8457944684042</v>
      </c>
      <c r="N11" s="9">
        <f>SUM(N5:N10)</f>
        <v>3861.9031622082443</v>
      </c>
      <c r="O11" s="9">
        <f>SUM(O5:O10)</f>
        <v>3908.0978875627452</v>
      </c>
      <c r="P11" s="9">
        <f t="shared" ref="P11:Q11" si="6">SUM(P5:P10)</f>
        <v>3920.0385606961536</v>
      </c>
      <c r="Q11" s="9">
        <f t="shared" si="6"/>
        <v>3926.310429412692</v>
      </c>
    </row>
    <row r="12" spans="1:17" x14ac:dyDescent="0.35">
      <c r="A12" t="s">
        <v>7</v>
      </c>
      <c r="B12">
        <v>241.3</v>
      </c>
      <c r="C12">
        <v>250.2</v>
      </c>
      <c r="D12">
        <v>235.7</v>
      </c>
      <c r="E12">
        <v>239.7</v>
      </c>
      <c r="F12">
        <v>247.5</v>
      </c>
      <c r="G12">
        <v>249.3</v>
      </c>
      <c r="H12">
        <v>254</v>
      </c>
      <c r="J12" s="8" t="s">
        <v>30</v>
      </c>
      <c r="K12" s="9">
        <f>-B25*$B$27</f>
        <v>0</v>
      </c>
      <c r="L12" s="9">
        <f>-C25*$B$27</f>
        <v>0</v>
      </c>
      <c r="M12" s="9">
        <f>-D25*$B$27</f>
        <v>0</v>
      </c>
      <c r="N12" s="9">
        <f>-E25*$B$27</f>
        <v>0</v>
      </c>
      <c r="O12" s="9">
        <f>-F25*$B$27</f>
        <v>0</v>
      </c>
      <c r="P12" s="9">
        <f t="shared" ref="P12:Q12" si="7">-G25*$B$27</f>
        <v>0</v>
      </c>
      <c r="Q12" s="9">
        <f t="shared" si="7"/>
        <v>0</v>
      </c>
    </row>
    <row r="13" spans="1:17" x14ac:dyDescent="0.35">
      <c r="A13" t="s">
        <v>8</v>
      </c>
      <c r="B13">
        <v>1205.5</v>
      </c>
      <c r="C13">
        <v>1306</v>
      </c>
      <c r="D13">
        <v>1384.5</v>
      </c>
      <c r="E13">
        <v>1366.7</v>
      </c>
      <c r="F13">
        <v>1397.3</v>
      </c>
      <c r="G13">
        <v>1398.2</v>
      </c>
      <c r="H13">
        <v>1415.7</v>
      </c>
      <c r="J13" s="8" t="s">
        <v>31</v>
      </c>
      <c r="K13" s="9">
        <f>-SUM(B15:B16)*$B$27</f>
        <v>0</v>
      </c>
      <c r="L13" s="9">
        <f>-SUM(C15:C16)*$B$27</f>
        <v>0</v>
      </c>
      <c r="M13" s="9">
        <f>-SUM(D15:D16)*$B$27</f>
        <v>0</v>
      </c>
      <c r="N13" s="9">
        <f>-SUM(E15:E16)*$B$27</f>
        <v>0</v>
      </c>
      <c r="O13" s="9">
        <f>-SUM(F15:F16)*$B$27</f>
        <v>0</v>
      </c>
      <c r="P13" s="9">
        <f t="shared" ref="P13:Q13" si="8">-SUM(G15:G16)*$B$27</f>
        <v>0</v>
      </c>
      <c r="Q13" s="9">
        <f t="shared" si="8"/>
        <v>0</v>
      </c>
    </row>
    <row r="14" spans="1:17" x14ac:dyDescent="0.35">
      <c r="A14" t="s">
        <v>9</v>
      </c>
      <c r="B14">
        <v>288.60000000000002</v>
      </c>
      <c r="C14">
        <v>335</v>
      </c>
      <c r="D14">
        <v>327.9</v>
      </c>
      <c r="E14">
        <v>341.5</v>
      </c>
      <c r="F14">
        <v>368.1</v>
      </c>
      <c r="G14">
        <v>397.5</v>
      </c>
      <c r="H14">
        <v>422.6</v>
      </c>
      <c r="J14" s="8" t="s">
        <v>27</v>
      </c>
      <c r="K14" s="9">
        <f>SUM(K5:K6,K7,K8:K10,K12,K13)</f>
        <v>3614.2849607649287</v>
      </c>
      <c r="L14" s="9">
        <f>SUM(L5:L6,L7,L8:L10,L12,L13)</f>
        <v>3848.5151347556343</v>
      </c>
      <c r="M14" s="9">
        <f>SUM(M5:M6,M7,M8:M10,M12,M13)</f>
        <v>3897.8457944684042</v>
      </c>
      <c r="N14" s="9">
        <f>SUM(N5:N6,N7,N8:N10,N12,N13)</f>
        <v>3861.9031622082443</v>
      </c>
      <c r="O14" s="9">
        <f>SUM(O5:O6,O7,O8:O10,O12,O13)</f>
        <v>3908.0978875627452</v>
      </c>
      <c r="P14" s="9">
        <f t="shared" ref="P14:Q14" si="9">SUM(P5:P6,P7,P8:P10,P12,P13)</f>
        <v>3920.0385606961536</v>
      </c>
      <c r="Q14" s="9">
        <f t="shared" si="9"/>
        <v>3926.310429412692</v>
      </c>
    </row>
    <row r="15" spans="1:17" x14ac:dyDescent="0.35">
      <c r="A15" t="s">
        <v>28</v>
      </c>
      <c r="J15" t="s">
        <v>114</v>
      </c>
      <c r="K15" s="13">
        <f>SUM(K5:K10)</f>
        <v>3614.2849607649287</v>
      </c>
      <c r="L15" s="13">
        <f t="shared" ref="L15:Q15" si="10">SUM(L5:L10)</f>
        <v>3848.5151347556343</v>
      </c>
      <c r="M15" s="13">
        <f t="shared" si="10"/>
        <v>3897.8457944684042</v>
      </c>
      <c r="N15" s="13">
        <f t="shared" si="10"/>
        <v>3861.9031622082443</v>
      </c>
      <c r="O15" s="13">
        <f t="shared" si="10"/>
        <v>3908.0978875627452</v>
      </c>
      <c r="P15" s="13">
        <f t="shared" si="10"/>
        <v>3920.0385606961536</v>
      </c>
      <c r="Q15" s="13">
        <f t="shared" si="10"/>
        <v>3926.310429412692</v>
      </c>
    </row>
    <row r="16" spans="1:17" x14ac:dyDescent="0.35">
      <c r="A16" t="s">
        <v>29</v>
      </c>
    </row>
    <row r="17" spans="1:8" x14ac:dyDescent="0.35">
      <c r="A17" t="s">
        <v>10</v>
      </c>
      <c r="B17">
        <v>1957.2</v>
      </c>
      <c r="C17">
        <v>2124.6</v>
      </c>
      <c r="D17">
        <v>2177.6999999999998</v>
      </c>
      <c r="E17">
        <v>2175.9</v>
      </c>
      <c r="F17">
        <v>2241.1</v>
      </c>
      <c r="G17">
        <v>2274</v>
      </c>
      <c r="H17">
        <v>2319.9</v>
      </c>
    </row>
    <row r="18" spans="1:8" x14ac:dyDescent="0.35">
      <c r="A18" t="s">
        <v>11</v>
      </c>
      <c r="B18">
        <v>2996.2</v>
      </c>
      <c r="C18">
        <v>3190.6</v>
      </c>
      <c r="D18">
        <v>3232</v>
      </c>
      <c r="E18">
        <v>3202.5</v>
      </c>
      <c r="F18">
        <v>3240.2</v>
      </c>
      <c r="G18">
        <v>3250.2</v>
      </c>
      <c r="H18">
        <v>3256.5</v>
      </c>
    </row>
    <row r="19" spans="1:8" x14ac:dyDescent="0.35">
      <c r="A19" t="s">
        <v>12</v>
      </c>
      <c r="B19">
        <v>-0.4</v>
      </c>
      <c r="C19">
        <v>-0.2</v>
      </c>
      <c r="D19">
        <v>0.3</v>
      </c>
      <c r="E19">
        <v>0.5</v>
      </c>
      <c r="F19">
        <v>-0.1</v>
      </c>
      <c r="G19">
        <v>0.2</v>
      </c>
      <c r="H19">
        <v>1.3</v>
      </c>
    </row>
    <row r="20" spans="1:8" x14ac:dyDescent="0.35">
      <c r="A20" t="s">
        <v>13</v>
      </c>
      <c r="B20">
        <v>342.4</v>
      </c>
      <c r="C20">
        <v>389</v>
      </c>
      <c r="D20">
        <v>394.8</v>
      </c>
      <c r="E20">
        <v>400.1</v>
      </c>
      <c r="F20">
        <v>419.2</v>
      </c>
      <c r="G20">
        <v>431.1</v>
      </c>
      <c r="H20">
        <v>432.7</v>
      </c>
    </row>
    <row r="21" spans="1:8" x14ac:dyDescent="0.35">
      <c r="A21" t="s">
        <v>14</v>
      </c>
      <c r="B21">
        <v>95.8</v>
      </c>
      <c r="C21">
        <v>106.7</v>
      </c>
      <c r="D21">
        <v>118.2</v>
      </c>
      <c r="E21">
        <v>122.4</v>
      </c>
      <c r="F21">
        <v>125.2</v>
      </c>
      <c r="G21">
        <v>126.6</v>
      </c>
      <c r="H21">
        <v>127.7</v>
      </c>
    </row>
    <row r="22" spans="1:8" x14ac:dyDescent="0.35">
      <c r="A22" t="s">
        <v>16</v>
      </c>
      <c r="B22" s="7"/>
      <c r="C22" s="7"/>
      <c r="D22" s="7"/>
      <c r="E22" s="7"/>
      <c r="F22" s="7"/>
      <c r="G22" s="7"/>
      <c r="H22" s="7"/>
    </row>
    <row r="23" spans="1:8" x14ac:dyDescent="0.35">
      <c r="A23" t="s">
        <v>17</v>
      </c>
      <c r="B23" s="7">
        <f>B7-B21</f>
        <v>600.90000000000009</v>
      </c>
      <c r="C23" s="7">
        <f>C7-C21</f>
        <v>570.4</v>
      </c>
      <c r="D23" s="7">
        <f>D7-D21</f>
        <v>541.29999999999995</v>
      </c>
      <c r="E23" s="7">
        <f>E7-E21</f>
        <v>504</v>
      </c>
      <c r="F23" s="7">
        <f>F7-F21</f>
        <v>454.7</v>
      </c>
      <c r="G23" s="7">
        <f t="shared" ref="G23:H23" si="11">G7-G21</f>
        <v>418.4</v>
      </c>
      <c r="H23" s="7">
        <f t="shared" si="11"/>
        <v>376.1</v>
      </c>
    </row>
    <row r="24" spans="1:8" x14ac:dyDescent="0.35">
      <c r="A24" t="s">
        <v>18</v>
      </c>
      <c r="B24" s="7">
        <f>B8-B19</f>
        <v>0</v>
      </c>
      <c r="C24" s="7">
        <f t="shared" ref="C24:F24" si="12">C8-C19</f>
        <v>0</v>
      </c>
      <c r="D24" s="7">
        <f t="shared" si="12"/>
        <v>0</v>
      </c>
      <c r="E24" s="7">
        <f t="shared" si="12"/>
        <v>0</v>
      </c>
      <c r="F24" s="7">
        <f t="shared" si="12"/>
        <v>0</v>
      </c>
      <c r="G24" s="7">
        <f t="shared" ref="G24:H24" si="13">G8-G19</f>
        <v>0</v>
      </c>
      <c r="H24" s="7">
        <f t="shared" si="13"/>
        <v>0</v>
      </c>
    </row>
    <row r="25" spans="1:8" x14ac:dyDescent="0.35">
      <c r="A25" t="s">
        <v>35</v>
      </c>
      <c r="B25" s="7"/>
      <c r="C25" s="7"/>
      <c r="D25" s="7"/>
      <c r="E25" s="7"/>
      <c r="F25" s="7"/>
      <c r="G25" s="7"/>
      <c r="H25" s="7"/>
    </row>
    <row r="26" spans="1:8" x14ac:dyDescent="0.35">
      <c r="D26" s="1"/>
      <c r="E26" s="1"/>
      <c r="F26" s="1"/>
      <c r="G26" s="1"/>
      <c r="H26" s="1"/>
    </row>
    <row r="27" spans="1:8" x14ac:dyDescent="0.35">
      <c r="A27" t="s">
        <v>47</v>
      </c>
      <c r="B27" s="6">
        <f>GDPDEF_Annual!B87/GDPDEF_Annual!B80</f>
        <v>1.2061285993342217</v>
      </c>
      <c r="D27" s="1"/>
      <c r="E27" s="1"/>
      <c r="F27" s="1"/>
      <c r="G27" s="1"/>
      <c r="H27" s="1"/>
    </row>
  </sheetData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94325-53EF-45EF-8FE9-059D809B8873}">
  <sheetPr>
    <tabColor theme="4" tint="0.79998168889431442"/>
  </sheetPr>
  <dimension ref="A1:X66"/>
  <sheetViews>
    <sheetView zoomScale="70" zoomScaleNormal="70" workbookViewId="0">
      <selection activeCell="M23" sqref="M23"/>
    </sheetView>
  </sheetViews>
  <sheetFormatPr defaultRowHeight="14.5" x14ac:dyDescent="0.35"/>
  <cols>
    <col min="1" max="1" width="33.08984375" bestFit="1" customWidth="1"/>
    <col min="3" max="3" width="8.81640625" bestFit="1" customWidth="1"/>
    <col min="4" max="8" width="9.36328125" bestFit="1" customWidth="1"/>
  </cols>
  <sheetData>
    <row r="1" spans="1:10" x14ac:dyDescent="0.35">
      <c r="B1" s="10" t="s">
        <v>120</v>
      </c>
    </row>
    <row r="2" spans="1:10" x14ac:dyDescent="0.35">
      <c r="C2" t="s">
        <v>99</v>
      </c>
      <c r="E2" t="s">
        <v>105</v>
      </c>
    </row>
    <row r="3" spans="1:10" x14ac:dyDescent="0.35">
      <c r="C3">
        <v>2026</v>
      </c>
      <c r="D3">
        <v>2031</v>
      </c>
      <c r="E3">
        <v>2025</v>
      </c>
      <c r="F3">
        <v>2030</v>
      </c>
      <c r="G3">
        <v>2035</v>
      </c>
      <c r="H3">
        <v>2040</v>
      </c>
      <c r="J3" t="s">
        <v>109</v>
      </c>
    </row>
    <row r="4" spans="1:10" x14ac:dyDescent="0.35">
      <c r="A4" t="s">
        <v>101</v>
      </c>
      <c r="B4" t="s">
        <v>95</v>
      </c>
      <c r="C4" s="7">
        <f>11.885+(4.899+4.522)+0.006</f>
        <v>21.311999999999998</v>
      </c>
      <c r="D4" s="7">
        <f>51.062+(15.6+14.401)+11.178</f>
        <v>92.240999999999985</v>
      </c>
      <c r="E4" s="7">
        <f>3*'Power - Tax Credits'!C9*'Power - Tax Credits'!$B$13*'Economy - IRA'!$B$27</f>
        <v>16.190437649163126</v>
      </c>
      <c r="F4" s="7">
        <f>E4+5*'Power - Tax Credits'!D9*'Power - Tax Credits'!$B$13*'Economy - IRA'!$B$27</f>
        <v>81.188544999818021</v>
      </c>
      <c r="G4" s="7">
        <f>F4+5*'Power - Tax Credits'!E9*'Power - Tax Credits'!$B$13*'Economy - IRA'!$B$27</f>
        <v>195.16502415207748</v>
      </c>
      <c r="H4" s="7">
        <f>G4+5*'Power - Tax Credits'!F9*'Power - Tax Credits'!$B$13*'Economy - IRA'!$B$27</f>
        <v>321.74719685113064</v>
      </c>
      <c r="J4" s="7">
        <f>H4-F4</f>
        <v>240.55865185131262</v>
      </c>
    </row>
    <row r="5" spans="1:10" x14ac:dyDescent="0.35">
      <c r="A5" t="s">
        <v>102</v>
      </c>
      <c r="B5" t="s">
        <v>96</v>
      </c>
      <c r="C5" s="7">
        <f>11.523+0.097</f>
        <v>11.62</v>
      </c>
      <c r="D5" s="7">
        <f>13.962+50.858</f>
        <v>64.819999999999993</v>
      </c>
      <c r="E5" s="7">
        <f>3*SUM('Power - Tax Credits'!C6:C8)*'Power - Tax Credits'!$B$13*'Economy - IRA'!$B$27</f>
        <v>36.162583362364352</v>
      </c>
      <c r="F5" s="7">
        <f>E5+5*SUM('Power - Tax Credits'!D6:D8)*'Power - Tax Credits'!$B$13*'Economy - IRA'!$B$27</f>
        <v>85.14095516396894</v>
      </c>
      <c r="G5" s="7">
        <f>F5+5*SUM('Power - Tax Credits'!E6:E8)*'Power - Tax Credits'!$B$13*'Economy - IRA'!$B$27</f>
        <v>116.65518903095312</v>
      </c>
      <c r="H5" s="7">
        <f>G5+5*SUM('Power - Tax Credits'!F6:F8)*'Power - Tax Credits'!$B$13*'Economy - IRA'!$B$27</f>
        <v>138.71515273784206</v>
      </c>
      <c r="J5" s="7">
        <f t="shared" ref="J5:J8" si="0">H5-F5</f>
        <v>53.574197573873121</v>
      </c>
    </row>
    <row r="6" spans="1:10" x14ac:dyDescent="0.35">
      <c r="A6" t="s">
        <v>100</v>
      </c>
      <c r="B6" t="s">
        <v>97</v>
      </c>
      <c r="C6" s="7">
        <f>0.681+0.628</f>
        <v>1.3090000000000002</v>
      </c>
      <c r="D6" s="7">
        <f>1.679+1.55</f>
        <v>3.2290000000000001</v>
      </c>
      <c r="E6" s="7">
        <f>3*'Power - Tax Credits'!C10*'Power - Tax Credits'!$B$13*'Economy - IRA'!$B$27</f>
        <v>0</v>
      </c>
      <c r="F6" s="7">
        <f>E6+5*'Power - Tax Credits'!D10*'Power - Tax Credits'!$B$13*'Economy - IRA'!$B$27</f>
        <v>73.270593740738221</v>
      </c>
      <c r="G6" s="7">
        <f>F6+5*'Power - Tax Credits'!E10*'Power - Tax Credits'!$B$13*'Economy - IRA'!$B$27</f>
        <v>146.93511540481376</v>
      </c>
      <c r="H6" s="7">
        <f>G6+5*'Power - Tax Credits'!F10*'Power - Tax Credits'!$B$13*'Economy - IRA'!$B$27</f>
        <v>172.86870369118617</v>
      </c>
      <c r="J6" s="7">
        <f t="shared" si="0"/>
        <v>99.598109950447949</v>
      </c>
    </row>
    <row r="7" spans="1:10" x14ac:dyDescent="0.35">
      <c r="A7" t="s">
        <v>103</v>
      </c>
      <c r="B7" t="s">
        <v>98</v>
      </c>
      <c r="C7" s="7">
        <f>(5.571+0.054+0.049+1.206+0.815)+(1.775+0.447+0.892+0.575)+1.432</f>
        <v>12.816000000000001</v>
      </c>
      <c r="D7" s="7">
        <f>(5.571+0.054+0.049+7.849+5.317)+(7.541+1.347+3.583+1.738)+2.946</f>
        <v>35.994999999999997</v>
      </c>
      <c r="E7" s="7">
        <f>3*'Economy - IRA'!C15*'Economy - IRA'!$B$27</f>
        <v>32.927310761824245</v>
      </c>
      <c r="F7" s="7">
        <f>E7+5*'Economy - IRA'!D15*'Economy - IRA'!$B$27</f>
        <v>345.91768228905477</v>
      </c>
      <c r="G7" s="7">
        <f>F7+5*'Economy - IRA'!E15*'Economy - IRA'!$B$27</f>
        <v>345.91768228905477</v>
      </c>
      <c r="H7" s="7">
        <f>G7+5*'Economy - IRA'!F15*'Economy - IRA'!$B$27</f>
        <v>345.91768228905477</v>
      </c>
      <c r="J7" s="7">
        <f t="shared" si="0"/>
        <v>0</v>
      </c>
    </row>
    <row r="8" spans="1:10" x14ac:dyDescent="0.35">
      <c r="A8" t="s">
        <v>104</v>
      </c>
      <c r="B8" t="s">
        <v>62</v>
      </c>
      <c r="C8" s="7">
        <f>(5.904+6.942+0.2+0.887)+(4.681+5.262+4.853)+0</f>
        <v>28.728999999999999</v>
      </c>
      <c r="D8" s="7">
        <f>(12.451+22.022+0.362+2.043)+(6.255+15.933+14.699)+0.624</f>
        <v>74.388999999999996</v>
      </c>
      <c r="E8" s="7">
        <f>3*'Economy - IRA'!C16*'Economy - IRA'!$B$27</f>
        <v>25.690539165818919</v>
      </c>
      <c r="F8" s="7">
        <f>E8+5*'Economy - IRA'!D16*'Economy - IRA'!$B$27</f>
        <v>69.714233041518014</v>
      </c>
      <c r="G8" s="7">
        <f>F8+5*'Economy - IRA'!E16*'Economy - IRA'!$B$27</f>
        <v>69.714233041518014</v>
      </c>
      <c r="H8" s="7">
        <f>G8+5*'Economy - IRA'!F16*'Economy - IRA'!$B$27</f>
        <v>69.714233041518014</v>
      </c>
      <c r="J8" s="7">
        <f t="shared" si="0"/>
        <v>0</v>
      </c>
    </row>
    <row r="9" spans="1:10" x14ac:dyDescent="0.35">
      <c r="B9" t="s">
        <v>87</v>
      </c>
      <c r="C9" s="7">
        <f>SUM(C4:C8)</f>
        <v>75.786000000000001</v>
      </c>
      <c r="D9" s="7">
        <f>SUM(D4:D8)</f>
        <v>270.67399999999998</v>
      </c>
      <c r="E9" s="7">
        <f t="shared" ref="E9:H9" si="1">SUM(E4:E8)</f>
        <v>110.97087093917064</v>
      </c>
      <c r="F9" s="7">
        <f t="shared" si="1"/>
        <v>655.23200923509796</v>
      </c>
      <c r="G9" s="7">
        <f t="shared" si="1"/>
        <v>874.38724391841708</v>
      </c>
      <c r="H9" s="7">
        <f t="shared" si="1"/>
        <v>1048.9629686107314</v>
      </c>
      <c r="J9" s="7">
        <f t="shared" ref="J9" si="2">SUM(J4:J8)</f>
        <v>393.73095937563369</v>
      </c>
    </row>
    <row r="10" spans="1:10" x14ac:dyDescent="0.35">
      <c r="B10" t="s">
        <v>107</v>
      </c>
      <c r="C10" s="7">
        <f>SUM(C4:C6)</f>
        <v>34.240999999999993</v>
      </c>
      <c r="D10" s="7">
        <f t="shared" ref="D10:H10" si="3">SUM(D4:D6)</f>
        <v>160.29</v>
      </c>
      <c r="E10" s="7">
        <f t="shared" si="3"/>
        <v>52.353021011527474</v>
      </c>
      <c r="F10" s="7">
        <f t="shared" si="3"/>
        <v>239.60009390452518</v>
      </c>
      <c r="G10" s="7">
        <f t="shared" si="3"/>
        <v>458.75532858784436</v>
      </c>
      <c r="H10" s="7">
        <f t="shared" si="3"/>
        <v>633.33105328015881</v>
      </c>
      <c r="J10" s="7">
        <f t="shared" ref="J10" si="4">SUM(J4:J6)</f>
        <v>393.73095937563369</v>
      </c>
    </row>
    <row r="11" spans="1:10" x14ac:dyDescent="0.35">
      <c r="B11" t="s">
        <v>106</v>
      </c>
      <c r="C11" s="12">
        <f t="shared" ref="C11:H11" si="5">SUM(C4:C6)/C9</f>
        <v>0.45181168025756724</v>
      </c>
      <c r="D11" s="12">
        <f t="shared" si="5"/>
        <v>0.59218838898453496</v>
      </c>
      <c r="E11" s="12">
        <f t="shared" si="5"/>
        <v>0.47177264239212019</v>
      </c>
      <c r="F11" s="12">
        <f t="shared" si="5"/>
        <v>0.36567214441221901</v>
      </c>
      <c r="G11" s="12">
        <f t="shared" si="5"/>
        <v>0.52465921910298086</v>
      </c>
      <c r="H11" s="12">
        <f t="shared" si="5"/>
        <v>0.60376874325597574</v>
      </c>
    </row>
    <row r="12" spans="1:10" x14ac:dyDescent="0.35">
      <c r="B12" t="s">
        <v>108</v>
      </c>
      <c r="E12" s="12">
        <f t="shared" ref="E12:H12" si="6">SUM(E7:E8)/E9</f>
        <v>0.52822735760787976</v>
      </c>
      <c r="F12" s="12">
        <f t="shared" si="6"/>
        <v>0.63432785558778093</v>
      </c>
      <c r="G12" s="12">
        <f t="shared" si="6"/>
        <v>0.4753407808970192</v>
      </c>
      <c r="H12" s="12">
        <f t="shared" si="6"/>
        <v>0.39623125674402443</v>
      </c>
    </row>
    <row r="29" spans="4:9" x14ac:dyDescent="0.35">
      <c r="D29" s="14" t="s">
        <v>125</v>
      </c>
      <c r="E29" s="14"/>
      <c r="F29" s="14"/>
      <c r="G29" s="14"/>
      <c r="H29" s="14"/>
      <c r="I29" s="14"/>
    </row>
    <row r="30" spans="4:9" x14ac:dyDescent="0.35">
      <c r="D30" s="14"/>
      <c r="E30" s="14">
        <v>2025</v>
      </c>
      <c r="F30" s="14">
        <v>2030</v>
      </c>
      <c r="G30" s="14">
        <v>2035</v>
      </c>
      <c r="H30" s="14">
        <v>2040</v>
      </c>
      <c r="I30" s="14"/>
    </row>
    <row r="31" spans="4:9" x14ac:dyDescent="0.35">
      <c r="D31" s="14" t="s">
        <v>95</v>
      </c>
      <c r="E31" s="15">
        <f>'Power - Tax Credits'!C9*'Power - Tax Credits'!$B$13*'Economy - IRA'!$B$27</f>
        <v>5.3968125497210417</v>
      </c>
      <c r="F31" s="15">
        <f>'Power - Tax Credits'!D9*'Power - Tax Credits'!$B$13*'Economy - IRA'!$B$27</f>
        <v>12.999621470130977</v>
      </c>
      <c r="G31" s="15">
        <f>'Power - Tax Credits'!E9*'Power - Tax Credits'!$B$13*'Economy - IRA'!$B$27</f>
        <v>22.795295830451892</v>
      </c>
      <c r="H31" s="15">
        <f>'Power - Tax Credits'!F9*'Power - Tax Credits'!$B$13*'Economy - IRA'!$B$27</f>
        <v>25.316434539810633</v>
      </c>
      <c r="I31" s="15"/>
    </row>
    <row r="32" spans="4:9" x14ac:dyDescent="0.35">
      <c r="D32" s="14" t="s">
        <v>96</v>
      </c>
      <c r="E32" s="15">
        <f>SUM('Power - Tax Credits'!C6:C8)*'Power - Tax Credits'!$B$13*'Economy - IRA'!$B$27</f>
        <v>12.054194454121451</v>
      </c>
      <c r="F32" s="15">
        <f>SUM('Power - Tax Credits'!D6:D8)*'Power - Tax Credits'!$B$13*'Economy - IRA'!$B$27</f>
        <v>9.7956743603209198</v>
      </c>
      <c r="G32" s="15">
        <f>SUM('Power - Tax Credits'!E6:E8)*'Power - Tax Credits'!$B$13*'Economy - IRA'!$B$27</f>
        <v>6.3028467733968379</v>
      </c>
      <c r="H32" s="15">
        <f>SUM('Power - Tax Credits'!F6:F8)*'Power - Tax Credits'!$B$13*'Economy - IRA'!$B$27</f>
        <v>4.4119927413777855</v>
      </c>
      <c r="I32" s="15"/>
    </row>
    <row r="33" spans="2:23" x14ac:dyDescent="0.35">
      <c r="D33" s="14" t="s">
        <v>97</v>
      </c>
      <c r="E33" s="15">
        <f>'Power - Tax Credits'!C10*'Power - Tax Credits'!$B$13*'Economy - IRA'!$B$27</f>
        <v>0</v>
      </c>
      <c r="F33" s="15">
        <f>'Power - Tax Credits'!D10*'Power - Tax Credits'!$B$13*'Economy - IRA'!$B$27</f>
        <v>14.654118748147647</v>
      </c>
      <c r="G33" s="15">
        <f>'Power - Tax Credits'!E10*'Power - Tax Credits'!$B$13*'Economy - IRA'!$B$27</f>
        <v>14.732904332815107</v>
      </c>
      <c r="H33" s="15">
        <f>'Power - Tax Credits'!F10*'Power - Tax Credits'!$B$13*'Economy - IRA'!$B$27</f>
        <v>5.1867176572744809</v>
      </c>
      <c r="I33" s="15"/>
    </row>
    <row r="34" spans="2:23" x14ac:dyDescent="0.35">
      <c r="D34" s="14" t="s">
        <v>98</v>
      </c>
      <c r="E34" s="15">
        <f>'Economy - IRA'!C15*'Economy - IRA'!$B$27</f>
        <v>10.975770253941416</v>
      </c>
      <c r="F34" s="15">
        <f>'Economy - IRA'!D15*'Economy - IRA'!$B$27</f>
        <v>62.598074305446104</v>
      </c>
      <c r="G34" s="15">
        <f>'Economy - IRA'!E15*'Economy - IRA'!$B$27</f>
        <v>0</v>
      </c>
      <c r="H34" s="15">
        <f>'Economy - IRA'!F15*'Economy - IRA'!$B$27</f>
        <v>0</v>
      </c>
      <c r="I34" s="15"/>
    </row>
    <row r="35" spans="2:23" x14ac:dyDescent="0.35">
      <c r="D35" s="14" t="s">
        <v>62</v>
      </c>
      <c r="E35" s="15">
        <f>'Economy - IRA'!C16*'Economy - IRA'!$B$27</f>
        <v>8.5635130552729741</v>
      </c>
      <c r="F35" s="15">
        <f>'Economy - IRA'!D16*'Economy - IRA'!$B$27</f>
        <v>8.8047387751398176</v>
      </c>
      <c r="G35" s="15">
        <f>'Economy - IRA'!E16*'Economy - IRA'!$B$27</f>
        <v>0</v>
      </c>
      <c r="H35" s="15">
        <f>'Economy - IRA'!F16*'Economy - IRA'!$B$27</f>
        <v>0</v>
      </c>
      <c r="I35" s="15"/>
    </row>
    <row r="36" spans="2:23" x14ac:dyDescent="0.35">
      <c r="D36" s="14"/>
      <c r="E36" s="15"/>
      <c r="F36" s="15"/>
      <c r="G36" s="15"/>
      <c r="H36" s="15"/>
      <c r="I36" s="15"/>
    </row>
    <row r="37" spans="2:23" x14ac:dyDescent="0.35">
      <c r="D37" s="14"/>
      <c r="E37" s="15"/>
      <c r="F37" s="15"/>
      <c r="G37" s="15"/>
      <c r="H37" s="15"/>
      <c r="I37" s="15"/>
    </row>
    <row r="38" spans="2:23" x14ac:dyDescent="0.35">
      <c r="D38" s="14"/>
      <c r="E38" s="15"/>
      <c r="F38" s="15"/>
      <c r="G38" s="15"/>
      <c r="H38" s="15"/>
      <c r="I38" s="15"/>
    </row>
    <row r="39" spans="2:23" x14ac:dyDescent="0.35">
      <c r="D39" s="14"/>
      <c r="E39" s="15"/>
      <c r="F39" s="15"/>
      <c r="G39" s="15"/>
      <c r="H39" s="15"/>
      <c r="I39" s="15"/>
    </row>
    <row r="40" spans="2:23" x14ac:dyDescent="0.35">
      <c r="D40" s="14"/>
      <c r="E40" s="15"/>
      <c r="F40" s="15"/>
      <c r="G40" s="15"/>
      <c r="H40" s="15"/>
      <c r="I40" s="15"/>
    </row>
    <row r="42" spans="2:23" x14ac:dyDescent="0.35">
      <c r="B42" s="14"/>
      <c r="C42" s="14" t="s">
        <v>122</v>
      </c>
      <c r="D42" s="14">
        <v>0.02</v>
      </c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</row>
    <row r="43" spans="2:23" x14ac:dyDescent="0.35"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</row>
    <row r="44" spans="2:23" x14ac:dyDescent="0.35">
      <c r="B44" s="14"/>
      <c r="C44" s="14" t="s">
        <v>121</v>
      </c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</row>
    <row r="45" spans="2:23" x14ac:dyDescent="0.35">
      <c r="B45" s="14"/>
      <c r="C45" s="14">
        <v>2022</v>
      </c>
      <c r="D45" s="14">
        <v>2023</v>
      </c>
      <c r="E45" s="14">
        <v>2024</v>
      </c>
      <c r="F45" s="14">
        <v>2025</v>
      </c>
      <c r="G45" s="14">
        <v>2026</v>
      </c>
      <c r="H45" s="14">
        <v>2027</v>
      </c>
      <c r="I45" s="14">
        <v>2028</v>
      </c>
      <c r="J45" s="14">
        <v>2029</v>
      </c>
      <c r="K45" s="14">
        <v>2030</v>
      </c>
      <c r="L45" s="14">
        <v>2031</v>
      </c>
      <c r="M45" s="14">
        <v>2032</v>
      </c>
      <c r="N45" s="14">
        <v>2033</v>
      </c>
      <c r="O45" s="14">
        <v>2034</v>
      </c>
      <c r="P45" s="14">
        <v>2035</v>
      </c>
      <c r="Q45" s="14">
        <v>2036</v>
      </c>
      <c r="R45" s="14">
        <v>2037</v>
      </c>
      <c r="S45" s="14">
        <v>2038</v>
      </c>
      <c r="T45" s="14">
        <v>2039</v>
      </c>
      <c r="U45" s="14">
        <v>2040</v>
      </c>
      <c r="V45" s="14"/>
      <c r="W45" s="14"/>
    </row>
    <row r="46" spans="2:23" x14ac:dyDescent="0.35">
      <c r="B46" s="14"/>
      <c r="C46" s="14">
        <f>GDPDEF_Annual!B87</f>
        <v>126.26900000000001</v>
      </c>
      <c r="D46" s="14">
        <f t="shared" ref="D46:U46" si="7">(1+$D$42)*C46</f>
        <v>128.79438000000002</v>
      </c>
      <c r="E46" s="14">
        <f t="shared" si="7"/>
        <v>131.37026760000003</v>
      </c>
      <c r="F46" s="14">
        <f t="shared" si="7"/>
        <v>133.99767295200004</v>
      </c>
      <c r="G46" s="14">
        <f t="shared" si="7"/>
        <v>136.67762641104005</v>
      </c>
      <c r="H46" s="14">
        <f t="shared" si="7"/>
        <v>139.41117893926085</v>
      </c>
      <c r="I46" s="14">
        <f t="shared" si="7"/>
        <v>142.19940251804607</v>
      </c>
      <c r="J46" s="14">
        <f t="shared" si="7"/>
        <v>145.04339056840701</v>
      </c>
      <c r="K46" s="14">
        <f t="shared" si="7"/>
        <v>147.94425837977514</v>
      </c>
      <c r="L46" s="14">
        <f t="shared" si="7"/>
        <v>150.90314354737063</v>
      </c>
      <c r="M46" s="14">
        <f t="shared" si="7"/>
        <v>153.92120641831804</v>
      </c>
      <c r="N46" s="14">
        <f t="shared" si="7"/>
        <v>156.99963054668439</v>
      </c>
      <c r="O46" s="14">
        <f t="shared" si="7"/>
        <v>160.13962315761808</v>
      </c>
      <c r="P46" s="14">
        <f t="shared" si="7"/>
        <v>163.34241562077045</v>
      </c>
      <c r="Q46" s="14">
        <f t="shared" si="7"/>
        <v>166.60926393318587</v>
      </c>
      <c r="R46" s="14">
        <f t="shared" si="7"/>
        <v>169.9414492118496</v>
      </c>
      <c r="S46" s="14">
        <f t="shared" si="7"/>
        <v>173.34027819608659</v>
      </c>
      <c r="T46" s="14">
        <f t="shared" si="7"/>
        <v>176.80708376000831</v>
      </c>
      <c r="U46" s="14">
        <f t="shared" si="7"/>
        <v>180.34322543520847</v>
      </c>
      <c r="V46" s="14"/>
      <c r="W46" s="14"/>
    </row>
    <row r="47" spans="2:23" x14ac:dyDescent="0.35"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</row>
    <row r="48" spans="2:23" x14ac:dyDescent="0.35">
      <c r="C48" s="14" t="s">
        <v>124</v>
      </c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2:24" x14ac:dyDescent="0.35">
      <c r="B49" s="14"/>
      <c r="C49" s="14"/>
      <c r="D49" s="14">
        <v>2023</v>
      </c>
      <c r="E49" s="14">
        <v>2024</v>
      </c>
      <c r="F49" s="14">
        <v>2025</v>
      </c>
      <c r="G49" s="14">
        <v>2026</v>
      </c>
      <c r="H49" s="14">
        <v>2027</v>
      </c>
      <c r="I49" s="14">
        <v>2028</v>
      </c>
      <c r="J49" s="14">
        <v>2029</v>
      </c>
      <c r="K49" s="14">
        <v>2030</v>
      </c>
      <c r="L49" s="14">
        <v>2031</v>
      </c>
      <c r="M49" s="14">
        <v>2032</v>
      </c>
      <c r="N49" s="14">
        <v>2033</v>
      </c>
      <c r="O49" s="14">
        <v>2034</v>
      </c>
      <c r="P49" s="14">
        <v>2035</v>
      </c>
      <c r="Q49" s="14">
        <v>2036</v>
      </c>
      <c r="R49" s="14">
        <v>2037</v>
      </c>
      <c r="S49" s="14">
        <v>2038</v>
      </c>
      <c r="T49" s="14">
        <v>2039</v>
      </c>
      <c r="U49" s="14">
        <v>2040</v>
      </c>
      <c r="V49" s="14"/>
      <c r="W49" s="14"/>
    </row>
    <row r="50" spans="2:24" x14ac:dyDescent="0.35">
      <c r="C50" s="14" t="s">
        <v>95</v>
      </c>
      <c r="D50" s="15">
        <f>$E31</f>
        <v>5.3968125497210417</v>
      </c>
      <c r="E50" s="15">
        <f>$E31</f>
        <v>5.3968125497210417</v>
      </c>
      <c r="F50" s="15">
        <f>$E31</f>
        <v>5.3968125497210417</v>
      </c>
      <c r="G50" s="15">
        <f>$F31</f>
        <v>12.999621470130977</v>
      </c>
      <c r="H50" s="15">
        <f t="shared" ref="H50:K50" si="8">$F31</f>
        <v>12.999621470130977</v>
      </c>
      <c r="I50" s="15">
        <f t="shared" si="8"/>
        <v>12.999621470130977</v>
      </c>
      <c r="J50" s="15">
        <f t="shared" si="8"/>
        <v>12.999621470130977</v>
      </c>
      <c r="K50" s="15">
        <f t="shared" si="8"/>
        <v>12.999621470130977</v>
      </c>
      <c r="L50" s="15">
        <f>$G31</f>
        <v>22.795295830451892</v>
      </c>
      <c r="M50" s="15">
        <f t="shared" ref="M50:O50" si="9">$G31</f>
        <v>22.795295830451892</v>
      </c>
      <c r="N50" s="15">
        <f t="shared" si="9"/>
        <v>22.795295830451892</v>
      </c>
      <c r="O50" s="15">
        <f t="shared" si="9"/>
        <v>22.795295830451892</v>
      </c>
      <c r="P50" s="15">
        <f t="shared" ref="P50" si="10">$G31</f>
        <v>22.795295830451892</v>
      </c>
      <c r="Q50" s="15">
        <f>$H31</f>
        <v>25.316434539810633</v>
      </c>
      <c r="R50" s="15">
        <f t="shared" ref="R50:U50" si="11">$H31</f>
        <v>25.316434539810633</v>
      </c>
      <c r="S50" s="15">
        <f t="shared" si="11"/>
        <v>25.316434539810633</v>
      </c>
      <c r="T50" s="15">
        <f t="shared" si="11"/>
        <v>25.316434539810633</v>
      </c>
      <c r="U50" s="15">
        <f t="shared" si="11"/>
        <v>25.316434539810633</v>
      </c>
      <c r="V50" s="14"/>
      <c r="W50" s="14"/>
      <c r="X50" s="15">
        <f>SUM(D50:U50)</f>
        <v>321.7471968511307</v>
      </c>
    </row>
    <row r="51" spans="2:24" x14ac:dyDescent="0.35">
      <c r="C51" s="14" t="s">
        <v>96</v>
      </c>
      <c r="D51" s="15">
        <f t="shared" ref="D51:E54" si="12">$E32</f>
        <v>12.054194454121451</v>
      </c>
      <c r="E51" s="15">
        <f t="shared" si="12"/>
        <v>12.054194454121451</v>
      </c>
      <c r="F51" s="15">
        <f t="shared" ref="F51" si="13">$E32</f>
        <v>12.054194454121451</v>
      </c>
      <c r="G51" s="15">
        <f t="shared" ref="G51:K54" si="14">$F32</f>
        <v>9.7956743603209198</v>
      </c>
      <c r="H51" s="15">
        <f t="shared" si="14"/>
        <v>9.7956743603209198</v>
      </c>
      <c r="I51" s="15">
        <f t="shared" si="14"/>
        <v>9.7956743603209198</v>
      </c>
      <c r="J51" s="15">
        <f t="shared" si="14"/>
        <v>9.7956743603209198</v>
      </c>
      <c r="K51" s="15">
        <f t="shared" si="14"/>
        <v>9.7956743603209198</v>
      </c>
      <c r="L51" s="15">
        <f t="shared" ref="L51:O54" si="15">$G32</f>
        <v>6.3028467733968379</v>
      </c>
      <c r="M51" s="15">
        <f t="shared" si="15"/>
        <v>6.3028467733968379</v>
      </c>
      <c r="N51" s="15">
        <f t="shared" si="15"/>
        <v>6.3028467733968379</v>
      </c>
      <c r="O51" s="15">
        <f t="shared" si="15"/>
        <v>6.3028467733968379</v>
      </c>
      <c r="P51" s="15">
        <f t="shared" ref="P51" si="16">$G32</f>
        <v>6.3028467733968379</v>
      </c>
      <c r="Q51" s="15">
        <f t="shared" ref="Q51:U54" si="17">$H32</f>
        <v>4.4119927413777855</v>
      </c>
      <c r="R51" s="15">
        <f t="shared" si="17"/>
        <v>4.4119927413777855</v>
      </c>
      <c r="S51" s="15">
        <f t="shared" si="17"/>
        <v>4.4119927413777855</v>
      </c>
      <c r="T51" s="15">
        <f t="shared" si="17"/>
        <v>4.4119927413777855</v>
      </c>
      <c r="U51" s="15">
        <f t="shared" si="17"/>
        <v>4.4119927413777855</v>
      </c>
      <c r="V51" s="14"/>
      <c r="W51" s="14"/>
      <c r="X51" s="15">
        <f t="shared" ref="X51:X62" si="18">SUM(D51:U51)</f>
        <v>138.71515273784206</v>
      </c>
    </row>
    <row r="52" spans="2:24" x14ac:dyDescent="0.35">
      <c r="C52" s="14" t="s">
        <v>97</v>
      </c>
      <c r="D52" s="15">
        <f t="shared" si="12"/>
        <v>0</v>
      </c>
      <c r="E52" s="15">
        <f t="shared" si="12"/>
        <v>0</v>
      </c>
      <c r="F52" s="15">
        <f t="shared" ref="F52" si="19">$E33</f>
        <v>0</v>
      </c>
      <c r="G52" s="15">
        <f t="shared" si="14"/>
        <v>14.654118748147647</v>
      </c>
      <c r="H52" s="15">
        <f t="shared" si="14"/>
        <v>14.654118748147647</v>
      </c>
      <c r="I52" s="15">
        <f t="shared" si="14"/>
        <v>14.654118748147647</v>
      </c>
      <c r="J52" s="15">
        <f t="shared" si="14"/>
        <v>14.654118748147647</v>
      </c>
      <c r="K52" s="15">
        <f t="shared" si="14"/>
        <v>14.654118748147647</v>
      </c>
      <c r="L52" s="15">
        <f t="shared" si="15"/>
        <v>14.732904332815107</v>
      </c>
      <c r="M52" s="15">
        <f t="shared" si="15"/>
        <v>14.732904332815107</v>
      </c>
      <c r="N52" s="15">
        <f t="shared" si="15"/>
        <v>14.732904332815107</v>
      </c>
      <c r="O52" s="15">
        <f t="shared" si="15"/>
        <v>14.732904332815107</v>
      </c>
      <c r="P52" s="15">
        <f t="shared" ref="P52" si="20">$G33</f>
        <v>14.732904332815107</v>
      </c>
      <c r="Q52" s="15">
        <f t="shared" si="17"/>
        <v>5.1867176572744809</v>
      </c>
      <c r="R52" s="15">
        <f t="shared" si="17"/>
        <v>5.1867176572744809</v>
      </c>
      <c r="S52" s="15">
        <f t="shared" si="17"/>
        <v>5.1867176572744809</v>
      </c>
      <c r="T52" s="15">
        <f t="shared" si="17"/>
        <v>5.1867176572744809</v>
      </c>
      <c r="U52" s="15">
        <f t="shared" si="17"/>
        <v>5.1867176572744809</v>
      </c>
      <c r="V52" s="14"/>
      <c r="W52" s="14"/>
      <c r="X52" s="15">
        <f t="shared" si="18"/>
        <v>172.86870369118614</v>
      </c>
    </row>
    <row r="53" spans="2:24" x14ac:dyDescent="0.35">
      <c r="C53" s="14" t="s">
        <v>98</v>
      </c>
      <c r="D53" s="15">
        <f t="shared" si="12"/>
        <v>10.975770253941416</v>
      </c>
      <c r="E53" s="15">
        <f t="shared" si="12"/>
        <v>10.975770253941416</v>
      </c>
      <c r="F53" s="15">
        <f t="shared" ref="F53" si="21">$E34</f>
        <v>10.975770253941416</v>
      </c>
      <c r="G53" s="15">
        <f t="shared" si="14"/>
        <v>62.598074305446104</v>
      </c>
      <c r="H53" s="15">
        <f t="shared" si="14"/>
        <v>62.598074305446104</v>
      </c>
      <c r="I53" s="15">
        <f t="shared" si="14"/>
        <v>62.598074305446104</v>
      </c>
      <c r="J53" s="15">
        <f t="shared" si="14"/>
        <v>62.598074305446104</v>
      </c>
      <c r="K53" s="15">
        <f t="shared" si="14"/>
        <v>62.598074305446104</v>
      </c>
      <c r="L53" s="15">
        <f t="shared" si="15"/>
        <v>0</v>
      </c>
      <c r="M53" s="15">
        <f t="shared" si="15"/>
        <v>0</v>
      </c>
      <c r="N53" s="15">
        <f t="shared" si="15"/>
        <v>0</v>
      </c>
      <c r="O53" s="15">
        <f t="shared" si="15"/>
        <v>0</v>
      </c>
      <c r="P53" s="15">
        <f t="shared" ref="P53" si="22">$G34</f>
        <v>0</v>
      </c>
      <c r="Q53" s="15">
        <f t="shared" si="17"/>
        <v>0</v>
      </c>
      <c r="R53" s="15">
        <f t="shared" si="17"/>
        <v>0</v>
      </c>
      <c r="S53" s="15">
        <f t="shared" si="17"/>
        <v>0</v>
      </c>
      <c r="T53" s="15">
        <f t="shared" si="17"/>
        <v>0</v>
      </c>
      <c r="U53" s="15">
        <f t="shared" si="17"/>
        <v>0</v>
      </c>
      <c r="V53" s="14"/>
      <c r="W53" s="14"/>
      <c r="X53" s="15">
        <f t="shared" si="18"/>
        <v>345.91768228905482</v>
      </c>
    </row>
    <row r="54" spans="2:24" x14ac:dyDescent="0.35">
      <c r="C54" s="14" t="s">
        <v>62</v>
      </c>
      <c r="D54" s="15">
        <f t="shared" si="12"/>
        <v>8.5635130552729741</v>
      </c>
      <c r="E54" s="15">
        <f t="shared" si="12"/>
        <v>8.5635130552729741</v>
      </c>
      <c r="F54" s="15">
        <f t="shared" ref="F54" si="23">$E35</f>
        <v>8.5635130552729741</v>
      </c>
      <c r="G54" s="15">
        <f t="shared" si="14"/>
        <v>8.8047387751398176</v>
      </c>
      <c r="H54" s="15">
        <f t="shared" si="14"/>
        <v>8.8047387751398176</v>
      </c>
      <c r="I54" s="15">
        <f t="shared" si="14"/>
        <v>8.8047387751398176</v>
      </c>
      <c r="J54" s="15">
        <f t="shared" si="14"/>
        <v>8.8047387751398176</v>
      </c>
      <c r="K54" s="15">
        <f t="shared" si="14"/>
        <v>8.8047387751398176</v>
      </c>
      <c r="L54" s="15">
        <f t="shared" si="15"/>
        <v>0</v>
      </c>
      <c r="M54" s="15">
        <f t="shared" si="15"/>
        <v>0</v>
      </c>
      <c r="N54" s="15">
        <f t="shared" si="15"/>
        <v>0</v>
      </c>
      <c r="O54" s="15">
        <f t="shared" si="15"/>
        <v>0</v>
      </c>
      <c r="P54" s="15">
        <f t="shared" ref="P54" si="24">$G35</f>
        <v>0</v>
      </c>
      <c r="Q54" s="15">
        <f t="shared" si="17"/>
        <v>0</v>
      </c>
      <c r="R54" s="15">
        <f t="shared" si="17"/>
        <v>0</v>
      </c>
      <c r="S54" s="15">
        <f t="shared" si="17"/>
        <v>0</v>
      </c>
      <c r="T54" s="15">
        <f t="shared" si="17"/>
        <v>0</v>
      </c>
      <c r="U54" s="15">
        <f t="shared" si="17"/>
        <v>0</v>
      </c>
      <c r="V54" s="14"/>
      <c r="W54" s="14"/>
      <c r="X54" s="15">
        <f t="shared" si="18"/>
        <v>69.714233041518014</v>
      </c>
    </row>
    <row r="55" spans="2:24" x14ac:dyDescent="0.35"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5"/>
    </row>
    <row r="56" spans="2:24" x14ac:dyDescent="0.35">
      <c r="B56" s="14"/>
      <c r="C56" s="14" t="s">
        <v>123</v>
      </c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5"/>
    </row>
    <row r="57" spans="2:24" x14ac:dyDescent="0.35">
      <c r="B57" s="14"/>
      <c r="C57" s="14"/>
      <c r="D57" s="14">
        <v>2023</v>
      </c>
      <c r="E57" s="14">
        <v>2024</v>
      </c>
      <c r="F57" s="14">
        <v>2025</v>
      </c>
      <c r="G57" s="14">
        <v>2026</v>
      </c>
      <c r="H57" s="14">
        <v>2027</v>
      </c>
      <c r="I57" s="14">
        <v>2028</v>
      </c>
      <c r="J57" s="14">
        <v>2029</v>
      </c>
      <c r="K57" s="14">
        <v>2030</v>
      </c>
      <c r="L57" s="14">
        <v>2031</v>
      </c>
      <c r="M57" s="14">
        <v>2032</v>
      </c>
      <c r="N57" s="14">
        <v>2033</v>
      </c>
      <c r="O57" s="14">
        <v>2034</v>
      </c>
      <c r="P57" s="14">
        <v>2035</v>
      </c>
      <c r="Q57" s="14">
        <v>2036</v>
      </c>
      <c r="R57" s="14">
        <v>2037</v>
      </c>
      <c r="S57" s="14">
        <v>2038</v>
      </c>
      <c r="T57" s="14">
        <v>2039</v>
      </c>
      <c r="U57" s="14">
        <v>2040</v>
      </c>
      <c r="V57" s="14"/>
      <c r="W57" s="14"/>
      <c r="X57" s="15"/>
    </row>
    <row r="58" spans="2:24" x14ac:dyDescent="0.35">
      <c r="B58" s="14"/>
      <c r="C58" s="14" t="s">
        <v>95</v>
      </c>
      <c r="D58" s="14">
        <f>D50*D$46/$C$46</f>
        <v>5.504748800715463</v>
      </c>
      <c r="E58" s="14">
        <f t="shared" ref="E58:U62" si="25">E50*E$46/$C$46</f>
        <v>5.6148437767297734</v>
      </c>
      <c r="F58" s="14">
        <f t="shared" si="25"/>
        <v>5.7271406522643691</v>
      </c>
      <c r="G58" s="14">
        <f t="shared" si="25"/>
        <v>14.071208347096254</v>
      </c>
      <c r="H58" s="14">
        <f t="shared" si="25"/>
        <v>14.352632514038179</v>
      </c>
      <c r="I58" s="14">
        <f t="shared" si="25"/>
        <v>14.639685164318943</v>
      </c>
      <c r="J58" s="14">
        <f t="shared" si="25"/>
        <v>14.932478867605322</v>
      </c>
      <c r="K58" s="14">
        <f t="shared" si="25"/>
        <v>15.231128444957427</v>
      </c>
      <c r="L58" s="14">
        <f t="shared" si="25"/>
        <v>27.242488646520215</v>
      </c>
      <c r="M58" s="14">
        <f t="shared" si="25"/>
        <v>27.787338419450617</v>
      </c>
      <c r="N58" s="14">
        <f t="shared" si="25"/>
        <v>28.343085187839627</v>
      </c>
      <c r="O58" s="14">
        <f t="shared" si="25"/>
        <v>28.90994689159642</v>
      </c>
      <c r="P58" s="14">
        <f t="shared" si="25"/>
        <v>29.488145829428351</v>
      </c>
      <c r="Q58" s="14">
        <f t="shared" si="25"/>
        <v>33.404497731751512</v>
      </c>
      <c r="R58" s="14">
        <f t="shared" si="25"/>
        <v>34.072587686386548</v>
      </c>
      <c r="S58" s="14">
        <f t="shared" si="25"/>
        <v>34.754039440114276</v>
      </c>
      <c r="T58" s="14">
        <f t="shared" si="25"/>
        <v>35.449120228916563</v>
      </c>
      <c r="U58" s="14">
        <f t="shared" si="25"/>
        <v>36.158102633494899</v>
      </c>
      <c r="V58" s="14"/>
      <c r="W58" s="14"/>
      <c r="X58" s="15">
        <f t="shared" si="18"/>
        <v>405.68321926322477</v>
      </c>
    </row>
    <row r="59" spans="2:24" x14ac:dyDescent="0.35">
      <c r="B59" s="14"/>
      <c r="C59" s="14" t="s">
        <v>96</v>
      </c>
      <c r="D59" s="14">
        <f t="shared" ref="D59:S62" si="26">D51*D$46/$C$46</f>
        <v>12.295278343203881</v>
      </c>
      <c r="E59" s="14">
        <f t="shared" si="26"/>
        <v>12.541183910067961</v>
      </c>
      <c r="F59" s="14">
        <f t="shared" si="26"/>
        <v>12.792007588269321</v>
      </c>
      <c r="G59" s="14">
        <f t="shared" si="26"/>
        <v>10.603152956498795</v>
      </c>
      <c r="H59" s="14">
        <f t="shared" si="26"/>
        <v>10.815216015628771</v>
      </c>
      <c r="I59" s="14">
        <f t="shared" si="26"/>
        <v>11.031520335941346</v>
      </c>
      <c r="J59" s="14">
        <f t="shared" si="26"/>
        <v>11.252150742660174</v>
      </c>
      <c r="K59" s="14">
        <f t="shared" si="26"/>
        <v>11.477193757513378</v>
      </c>
      <c r="L59" s="14">
        <f t="shared" si="26"/>
        <v>7.5324853400516742</v>
      </c>
      <c r="M59" s="14">
        <f t="shared" si="26"/>
        <v>7.6831350468527067</v>
      </c>
      <c r="N59" s="14">
        <f t="shared" si="26"/>
        <v>7.8367977477897606</v>
      </c>
      <c r="O59" s="14">
        <f t="shared" si="26"/>
        <v>7.9935337027455553</v>
      </c>
      <c r="P59" s="14">
        <f t="shared" si="26"/>
        <v>8.1534043768004683</v>
      </c>
      <c r="Q59" s="14">
        <f t="shared" si="26"/>
        <v>5.821530725035533</v>
      </c>
      <c r="R59" s="14">
        <f t="shared" si="26"/>
        <v>5.9379613395362441</v>
      </c>
      <c r="S59" s="14">
        <f t="shared" si="26"/>
        <v>6.0567205663269688</v>
      </c>
      <c r="T59" s="14">
        <f t="shared" si="25"/>
        <v>6.1778549776535074</v>
      </c>
      <c r="U59" s="14">
        <f t="shared" si="25"/>
        <v>6.3014120772065771</v>
      </c>
      <c r="V59" s="14"/>
      <c r="W59" s="14"/>
      <c r="X59" s="15">
        <f t="shared" si="18"/>
        <v>162.30253954978261</v>
      </c>
    </row>
    <row r="60" spans="2:24" x14ac:dyDescent="0.35">
      <c r="B60" s="14"/>
      <c r="C60" s="14" t="s">
        <v>97</v>
      </c>
      <c r="D60" s="14">
        <f t="shared" si="26"/>
        <v>0</v>
      </c>
      <c r="E60" s="14">
        <f t="shared" si="25"/>
        <v>0</v>
      </c>
      <c r="F60" s="14">
        <f t="shared" si="25"/>
        <v>0</v>
      </c>
      <c r="G60" s="14">
        <f t="shared" si="25"/>
        <v>15.86208940945396</v>
      </c>
      <c r="H60" s="14">
        <f t="shared" si="25"/>
        <v>16.179331197643037</v>
      </c>
      <c r="I60" s="14">
        <f t="shared" si="25"/>
        <v>16.502917821595901</v>
      </c>
      <c r="J60" s="14">
        <f t="shared" si="25"/>
        <v>16.83297617802782</v>
      </c>
      <c r="K60" s="14">
        <f t="shared" si="25"/>
        <v>17.169635701588373</v>
      </c>
      <c r="L60" s="14">
        <f t="shared" si="25"/>
        <v>17.607184482370783</v>
      </c>
      <c r="M60" s="14">
        <f t="shared" si="25"/>
        <v>17.9593281720182</v>
      </c>
      <c r="N60" s="14">
        <f t="shared" si="25"/>
        <v>18.318514735458564</v>
      </c>
      <c r="O60" s="14">
        <f t="shared" si="25"/>
        <v>18.684885030167734</v>
      </c>
      <c r="P60" s="14">
        <f t="shared" si="25"/>
        <v>19.058582730771089</v>
      </c>
      <c r="Q60" s="14">
        <f t="shared" si="25"/>
        <v>6.8437637987768918</v>
      </c>
      <c r="R60" s="14">
        <f t="shared" si="25"/>
        <v>6.980639074752431</v>
      </c>
      <c r="S60" s="14">
        <f t="shared" si="25"/>
        <v>7.1202518562474788</v>
      </c>
      <c r="T60" s="14">
        <f t="shared" si="25"/>
        <v>7.2626568933724291</v>
      </c>
      <c r="U60" s="14">
        <f t="shared" si="25"/>
        <v>7.4079100312398767</v>
      </c>
      <c r="V60" s="14"/>
      <c r="W60" s="14"/>
      <c r="X60" s="15">
        <f t="shared" si="18"/>
        <v>209.79066711348455</v>
      </c>
    </row>
    <row r="61" spans="2:24" x14ac:dyDescent="0.35">
      <c r="B61" s="14"/>
      <c r="C61" s="14" t="s">
        <v>98</v>
      </c>
      <c r="D61" s="14">
        <f t="shared" si="26"/>
        <v>11.195285659020245</v>
      </c>
      <c r="E61" s="14">
        <f t="shared" si="25"/>
        <v>11.419191372200652</v>
      </c>
      <c r="F61" s="14">
        <f t="shared" si="25"/>
        <v>11.647575199644667</v>
      </c>
      <c r="G61" s="14">
        <f t="shared" si="25"/>
        <v>67.758168782284542</v>
      </c>
      <c r="H61" s="14">
        <f t="shared" si="25"/>
        <v>69.11333215793023</v>
      </c>
      <c r="I61" s="14">
        <f t="shared" si="25"/>
        <v>70.495598801088846</v>
      </c>
      <c r="J61" s="14">
        <f t="shared" si="25"/>
        <v>71.905510777110635</v>
      </c>
      <c r="K61" s="14">
        <f t="shared" si="25"/>
        <v>73.343620992652831</v>
      </c>
      <c r="L61" s="14">
        <f t="shared" si="25"/>
        <v>0</v>
      </c>
      <c r="M61" s="14">
        <f t="shared" si="25"/>
        <v>0</v>
      </c>
      <c r="N61" s="14">
        <f t="shared" si="25"/>
        <v>0</v>
      </c>
      <c r="O61" s="14">
        <f t="shared" si="25"/>
        <v>0</v>
      </c>
      <c r="P61" s="14">
        <f t="shared" si="25"/>
        <v>0</v>
      </c>
      <c r="Q61" s="14">
        <f t="shared" si="25"/>
        <v>0</v>
      </c>
      <c r="R61" s="14">
        <f t="shared" si="25"/>
        <v>0</v>
      </c>
      <c r="S61" s="14">
        <f t="shared" si="25"/>
        <v>0</v>
      </c>
      <c r="T61" s="14">
        <f t="shared" si="25"/>
        <v>0</v>
      </c>
      <c r="U61" s="14">
        <f t="shared" si="25"/>
        <v>0</v>
      </c>
      <c r="V61" s="14"/>
      <c r="W61" s="14"/>
      <c r="X61" s="15">
        <f t="shared" si="18"/>
        <v>386.87828374193271</v>
      </c>
    </row>
    <row r="62" spans="2:24" x14ac:dyDescent="0.35">
      <c r="B62" s="14"/>
      <c r="C62" s="14" t="s">
        <v>62</v>
      </c>
      <c r="D62" s="14">
        <f t="shared" si="26"/>
        <v>8.7347833163784347</v>
      </c>
      <c r="E62" s="14">
        <f t="shared" si="25"/>
        <v>8.9094789827060055</v>
      </c>
      <c r="F62" s="14">
        <f t="shared" si="25"/>
        <v>9.0876685623601254</v>
      </c>
      <c r="G62" s="14">
        <f t="shared" si="25"/>
        <v>9.5305324106103502</v>
      </c>
      <c r="H62" s="14">
        <f t="shared" si="25"/>
        <v>9.7211430588225571</v>
      </c>
      <c r="I62" s="14">
        <f t="shared" si="25"/>
        <v>9.9155659199990094</v>
      </c>
      <c r="J62" s="14">
        <f t="shared" si="25"/>
        <v>10.11387723839899</v>
      </c>
      <c r="K62" s="14">
        <f t="shared" si="25"/>
        <v>10.316154783166969</v>
      </c>
      <c r="L62" s="14">
        <f t="shared" si="25"/>
        <v>0</v>
      </c>
      <c r="M62" s="14">
        <f t="shared" si="25"/>
        <v>0</v>
      </c>
      <c r="N62" s="14">
        <f t="shared" si="25"/>
        <v>0</v>
      </c>
      <c r="O62" s="14">
        <f t="shared" si="25"/>
        <v>0</v>
      </c>
      <c r="P62" s="14">
        <f t="shared" si="25"/>
        <v>0</v>
      </c>
      <c r="Q62" s="14">
        <f t="shared" si="25"/>
        <v>0</v>
      </c>
      <c r="R62" s="14">
        <f t="shared" si="25"/>
        <v>0</v>
      </c>
      <c r="S62" s="14">
        <f t="shared" si="25"/>
        <v>0</v>
      </c>
      <c r="T62" s="14">
        <f t="shared" si="25"/>
        <v>0</v>
      </c>
      <c r="U62" s="14">
        <f t="shared" si="25"/>
        <v>0</v>
      </c>
      <c r="V62" s="14"/>
      <c r="W62" s="14"/>
      <c r="X62" s="15">
        <f t="shared" si="18"/>
        <v>76.329204272442439</v>
      </c>
    </row>
    <row r="63" spans="2:24" x14ac:dyDescent="0.35"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</row>
    <row r="64" spans="2:24" x14ac:dyDescent="0.35"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</row>
    <row r="65" spans="2:23" x14ac:dyDescent="0.35"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</row>
    <row r="66" spans="2:23" x14ac:dyDescent="0.35"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</row>
  </sheetData>
  <pageMargins left="0.7" right="0.7" top="0.75" bottom="0.75" header="0.3" footer="0.3"/>
  <pageSetup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2F71B4-94AF-408B-AE60-F319DA72D1F1}">
  <sheetPr>
    <tabColor theme="4" tint="0.79998168889431442"/>
  </sheetPr>
  <dimension ref="A1:J13"/>
  <sheetViews>
    <sheetView zoomScale="70" zoomScaleNormal="70" workbookViewId="0">
      <selection activeCell="J22" sqref="J22"/>
    </sheetView>
  </sheetViews>
  <sheetFormatPr defaultRowHeight="14.5" x14ac:dyDescent="0.35"/>
  <cols>
    <col min="1" max="1" width="33.08984375" bestFit="1" customWidth="1"/>
    <col min="2" max="2" width="20" customWidth="1"/>
    <col min="3" max="3" width="8.81640625" bestFit="1" customWidth="1"/>
    <col min="4" max="5" width="9.36328125" bestFit="1" customWidth="1"/>
    <col min="6" max="6" width="9.6328125" customWidth="1"/>
    <col min="7" max="8" width="9.36328125" bestFit="1" customWidth="1"/>
  </cols>
  <sheetData>
    <row r="1" spans="1:10" x14ac:dyDescent="0.35">
      <c r="B1" s="10" t="s">
        <v>126</v>
      </c>
    </row>
    <row r="2" spans="1:10" x14ac:dyDescent="0.35">
      <c r="C2" t="s">
        <v>99</v>
      </c>
      <c r="E2" t="s">
        <v>105</v>
      </c>
    </row>
    <row r="3" spans="1:10" x14ac:dyDescent="0.35">
      <c r="C3">
        <v>2026</v>
      </c>
      <c r="D3">
        <v>2031</v>
      </c>
      <c r="E3">
        <v>2026</v>
      </c>
      <c r="F3">
        <v>2031</v>
      </c>
      <c r="G3">
        <v>2035</v>
      </c>
      <c r="H3">
        <v>2040</v>
      </c>
      <c r="J3" t="s">
        <v>109</v>
      </c>
    </row>
    <row r="4" spans="1:10" x14ac:dyDescent="0.35">
      <c r="A4" t="s">
        <v>101</v>
      </c>
      <c r="B4" t="s">
        <v>95</v>
      </c>
      <c r="C4" s="7">
        <f>'Tax Credit Figure'!C4</f>
        <v>21.311999999999998</v>
      </c>
      <c r="D4" s="7">
        <f>'Tax Credit Figure'!D4</f>
        <v>92.240999999999985</v>
      </c>
      <c r="E4" s="7">
        <f>SUM('Tax Credit Figure'!D58:G58)</f>
        <v>30.917941576805859</v>
      </c>
      <c r="F4" s="7">
        <f>SUM('Tax Credit Figure'!D58:L58)</f>
        <v>117.31635521424595</v>
      </c>
      <c r="G4" s="7">
        <f>SUM('Tax Credit Figure'!D58:P58)</f>
        <v>231.84487154256098</v>
      </c>
      <c r="H4" s="7">
        <f>SUM('Tax Credit Figure'!D58:U58)</f>
        <v>405.68321926322477</v>
      </c>
      <c r="J4" s="7">
        <f>H4-F4</f>
        <v>288.36686404897881</v>
      </c>
    </row>
    <row r="5" spans="1:10" x14ac:dyDescent="0.35">
      <c r="A5" t="s">
        <v>102</v>
      </c>
      <c r="B5" t="s">
        <v>96</v>
      </c>
      <c r="C5" s="7">
        <f>'Tax Credit Figure'!C5</f>
        <v>11.62</v>
      </c>
      <c r="D5" s="7">
        <f>'Tax Credit Figure'!D5</f>
        <v>64.819999999999993</v>
      </c>
      <c r="E5" s="7">
        <f>SUM('Tax Credit Figure'!D59:G59)</f>
        <v>48.231622798039957</v>
      </c>
      <c r="F5" s="7">
        <f>SUM('Tax Credit Figure'!D59:L59)</f>
        <v>100.34018898983531</v>
      </c>
      <c r="G5" s="7">
        <f>SUM('Tax Credit Figure'!D59:P59)</f>
        <v>132.0070598640238</v>
      </c>
      <c r="H5" s="7">
        <f>SUM('Tax Credit Figure'!D59:U59)</f>
        <v>162.30253954978261</v>
      </c>
      <c r="J5" s="7">
        <f t="shared" ref="J5:J8" si="0">H5-F5</f>
        <v>61.962350559947296</v>
      </c>
    </row>
    <row r="6" spans="1:10" x14ac:dyDescent="0.35">
      <c r="A6" t="s">
        <v>100</v>
      </c>
      <c r="B6" t="s">
        <v>97</v>
      </c>
      <c r="C6" s="7">
        <f>'Tax Credit Figure'!C6</f>
        <v>1.3090000000000002</v>
      </c>
      <c r="D6" s="7">
        <f>'Tax Credit Figure'!D6</f>
        <v>3.2290000000000001</v>
      </c>
      <c r="E6" s="7">
        <f>SUM('Tax Credit Figure'!D60:G60)</f>
        <v>15.86208940945396</v>
      </c>
      <c r="F6" s="9">
        <f>SUM('Tax Credit Figure'!D60:L60)</f>
        <v>100.15413479067988</v>
      </c>
      <c r="G6" s="7">
        <f>SUM('Tax Credit Figure'!D60:P60)</f>
        <v>174.17544545909544</v>
      </c>
      <c r="H6" s="9">
        <f>SUM('Tax Credit Figure'!D60:U60)</f>
        <v>209.79066711348455</v>
      </c>
      <c r="J6" s="7">
        <f t="shared" si="0"/>
        <v>109.63653232280467</v>
      </c>
    </row>
    <row r="7" spans="1:10" x14ac:dyDescent="0.35">
      <c r="A7" t="s">
        <v>103</v>
      </c>
      <c r="B7" t="s">
        <v>98</v>
      </c>
      <c r="C7" s="7">
        <f>'Tax Credit Figure'!C7</f>
        <v>12.816000000000001</v>
      </c>
      <c r="D7" s="7">
        <f>'Tax Credit Figure'!D7</f>
        <v>35.994999999999997</v>
      </c>
      <c r="E7" s="7">
        <f>SUM('Tax Credit Figure'!D61:G61)</f>
        <v>102.02022101315011</v>
      </c>
      <c r="F7" s="9">
        <f>SUM('Tax Credit Figure'!D61:L61)</f>
        <v>386.87828374193271</v>
      </c>
      <c r="G7" s="7">
        <f>SUM('Tax Credit Figure'!D61:P61)</f>
        <v>386.87828374193271</v>
      </c>
      <c r="H7" s="7">
        <f>SUM('Tax Credit Figure'!D61:U61)</f>
        <v>386.87828374193271</v>
      </c>
      <c r="J7" s="7">
        <f t="shared" si="0"/>
        <v>0</v>
      </c>
    </row>
    <row r="8" spans="1:10" x14ac:dyDescent="0.35">
      <c r="A8" t="s">
        <v>104</v>
      </c>
      <c r="B8" t="s">
        <v>62</v>
      </c>
      <c r="C8" s="7">
        <f>'Tax Credit Figure'!C8</f>
        <v>28.728999999999999</v>
      </c>
      <c r="D8" s="7">
        <f>'Tax Credit Figure'!D8</f>
        <v>74.388999999999996</v>
      </c>
      <c r="E8" s="7">
        <f>SUM('Tax Credit Figure'!D62:G62)</f>
        <v>36.262463272054916</v>
      </c>
      <c r="F8" s="7">
        <f>SUM('Tax Credit Figure'!D62:L62)</f>
        <v>76.329204272442439</v>
      </c>
      <c r="G8" s="7">
        <f>SUM('Tax Credit Figure'!D62:P62)</f>
        <v>76.329204272442439</v>
      </c>
      <c r="H8" s="7">
        <f>SUM('Tax Credit Figure'!D62:U62)</f>
        <v>76.329204272442439</v>
      </c>
      <c r="J8" s="7">
        <f t="shared" si="0"/>
        <v>0</v>
      </c>
    </row>
    <row r="9" spans="1:10" x14ac:dyDescent="0.35">
      <c r="B9" t="s">
        <v>87</v>
      </c>
      <c r="C9" s="7">
        <f>SUM(C4:C8)</f>
        <v>75.786000000000001</v>
      </c>
      <c r="D9" s="7">
        <f>SUM(D4:D8)</f>
        <v>270.67399999999998</v>
      </c>
      <c r="E9" s="7">
        <f t="shared" ref="E9:H9" si="1">SUM(E4:E8)</f>
        <v>233.29433806950482</v>
      </c>
      <c r="F9" s="9">
        <f t="shared" si="1"/>
        <v>781.01816700913628</v>
      </c>
      <c r="G9" s="7">
        <f t="shared" si="1"/>
        <v>1001.2348648800554</v>
      </c>
      <c r="H9" s="9">
        <f t="shared" si="1"/>
        <v>1240.9839139408671</v>
      </c>
      <c r="J9" s="7">
        <f t="shared" ref="J9" si="2">SUM(J4:J8)</f>
        <v>459.96574693173079</v>
      </c>
    </row>
    <row r="10" spans="1:10" x14ac:dyDescent="0.35">
      <c r="B10" t="s">
        <v>107</v>
      </c>
      <c r="C10" s="7">
        <f>SUM(C4:C6)</f>
        <v>34.240999999999993</v>
      </c>
      <c r="D10" s="7">
        <f t="shared" ref="D10:H10" si="3">SUM(D4:D6)</f>
        <v>160.29</v>
      </c>
      <c r="E10" s="7">
        <f t="shared" si="3"/>
        <v>95.011653784299781</v>
      </c>
      <c r="F10" s="9">
        <f t="shared" si="3"/>
        <v>317.81067899476113</v>
      </c>
      <c r="G10" s="7">
        <f t="shared" si="3"/>
        <v>538.02737686568025</v>
      </c>
      <c r="H10" s="9">
        <f t="shared" si="3"/>
        <v>777.77642592649192</v>
      </c>
      <c r="J10" s="9">
        <f t="shared" ref="J10" si="4">SUM(J4:J6)</f>
        <v>459.96574693173079</v>
      </c>
    </row>
    <row r="11" spans="1:10" x14ac:dyDescent="0.35">
      <c r="B11" t="s">
        <v>106</v>
      </c>
      <c r="C11" s="12">
        <f t="shared" ref="C11:H11" si="5">SUM(C4:C6)/C9</f>
        <v>0.45181168025756724</v>
      </c>
      <c r="D11" s="12">
        <f t="shared" si="5"/>
        <v>0.59218838898453496</v>
      </c>
      <c r="E11" s="12">
        <f t="shared" si="5"/>
        <v>0.40726086441066217</v>
      </c>
      <c r="F11" s="12">
        <f t="shared" si="5"/>
        <v>0.40691842061984124</v>
      </c>
      <c r="G11" s="12">
        <f t="shared" si="5"/>
        <v>0.53736380517485693</v>
      </c>
      <c r="H11" s="16">
        <f t="shared" si="5"/>
        <v>0.62674174676171746</v>
      </c>
    </row>
    <row r="12" spans="1:10" x14ac:dyDescent="0.35">
      <c r="B12" t="s">
        <v>108</v>
      </c>
      <c r="E12" s="12">
        <f t="shared" ref="E12:H12" si="6">SUM(E7:E8)/E9</f>
        <v>0.59273913558933777</v>
      </c>
      <c r="F12" s="16">
        <f t="shared" si="6"/>
        <v>0.59308157938015871</v>
      </c>
      <c r="G12" s="12">
        <f t="shared" si="6"/>
        <v>0.46263619482514312</v>
      </c>
      <c r="H12" s="12">
        <f t="shared" si="6"/>
        <v>0.37325825323828249</v>
      </c>
    </row>
    <row r="13" spans="1:10" x14ac:dyDescent="0.35">
      <c r="B13" t="s">
        <v>128</v>
      </c>
      <c r="F13" s="9">
        <f>F9/D9</f>
        <v>2.8854569223831485</v>
      </c>
      <c r="J13" s="9">
        <f>J10/SUM(D4:D6)</f>
        <v>2.8695847958807836</v>
      </c>
    </row>
  </sheetData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70F717-1505-4204-B86E-6BE1E7F1F33B}">
  <sheetPr>
    <tabColor theme="4" tint="0.79998168889431442"/>
  </sheetPr>
  <dimension ref="A1:AI75"/>
  <sheetViews>
    <sheetView zoomScale="70" zoomScaleNormal="70" workbookViewId="0">
      <selection activeCell="C4" sqref="C4:D8"/>
    </sheetView>
  </sheetViews>
  <sheetFormatPr defaultRowHeight="14.5" x14ac:dyDescent="0.35"/>
  <cols>
    <col min="1" max="1" width="33.08984375" bestFit="1" customWidth="1"/>
    <col min="3" max="3" width="8.81640625" bestFit="1" customWidth="1"/>
    <col min="4" max="8" width="9.36328125" bestFit="1" customWidth="1"/>
  </cols>
  <sheetData>
    <row r="1" spans="1:35" x14ac:dyDescent="0.35">
      <c r="B1" s="10" t="s">
        <v>120</v>
      </c>
    </row>
    <row r="2" spans="1:35" x14ac:dyDescent="0.35">
      <c r="C2" t="s">
        <v>99</v>
      </c>
      <c r="E2" t="s">
        <v>105</v>
      </c>
    </row>
    <row r="3" spans="1:35" x14ac:dyDescent="0.35">
      <c r="C3">
        <v>2026</v>
      </c>
      <c r="D3">
        <v>2031</v>
      </c>
      <c r="E3">
        <v>2025</v>
      </c>
      <c r="F3">
        <v>2030</v>
      </c>
      <c r="G3">
        <v>2035</v>
      </c>
      <c r="H3">
        <v>2040</v>
      </c>
      <c r="AE3" t="s">
        <v>129</v>
      </c>
    </row>
    <row r="4" spans="1:35" x14ac:dyDescent="0.35">
      <c r="A4" t="s">
        <v>101</v>
      </c>
      <c r="B4" t="s">
        <v>95</v>
      </c>
      <c r="C4" s="7">
        <f>'Tax Credit Figure'!C4</f>
        <v>21.311999999999998</v>
      </c>
      <c r="D4" s="7">
        <f>'Tax Credit Figure'!D4</f>
        <v>92.240999999999985</v>
      </c>
      <c r="E4" s="7">
        <f>3*AF8*'Power - Tax Credits'!$B$13*'Economy - IRA'!$B$27</f>
        <v>16.032866479828204</v>
      </c>
      <c r="F4" s="7">
        <f>E4+5*AG8*'Power - Tax Credits'!$B$13*'Economy - IRA'!$B$27</f>
        <v>33.628313722227709</v>
      </c>
      <c r="G4" s="7">
        <f>F4+5*AH8*'Power - Tax Credits'!$B$13*'Economy - IRA'!$B$27</f>
        <v>90.616553298357445</v>
      </c>
      <c r="H4" s="7">
        <f>G4+5*AI8*'Power - Tax Credits'!$B$13*'Economy - IRA'!$B$27</f>
        <v>204.39606848894823</v>
      </c>
      <c r="J4" s="7"/>
      <c r="AF4">
        <v>2025</v>
      </c>
      <c r="AG4">
        <v>2030</v>
      </c>
      <c r="AH4">
        <v>2035</v>
      </c>
      <c r="AI4">
        <v>2040</v>
      </c>
    </row>
    <row r="5" spans="1:35" x14ac:dyDescent="0.35">
      <c r="A5" t="s">
        <v>102</v>
      </c>
      <c r="B5" t="s">
        <v>96</v>
      </c>
      <c r="C5" s="7">
        <f>'Tax Credit Figure'!C5</f>
        <v>11.62</v>
      </c>
      <c r="D5" s="7">
        <f>'Tax Credit Figure'!D5</f>
        <v>64.819999999999993</v>
      </c>
      <c r="E5" s="7">
        <f>3*SUM(AF5:AF7)*'Power - Tax Credits'!$B$13*'Economy - IRA'!$B$27</f>
        <v>40.77154006541079</v>
      </c>
      <c r="F5" s="7">
        <f>E5+5*SUM(AG5:AG7)*'Power - Tax Credits'!$B$13*'Economy - IRA'!$B$27</f>
        <v>77.800764859117209</v>
      </c>
      <c r="G5" s="7">
        <f>F5+5*SUM(AH5:AH7)*'Power - Tax Credits'!$B$13*'Economy - IRA'!$B$27</f>
        <v>100.25465648934345</v>
      </c>
      <c r="H5" s="7">
        <f>G5+5*SUM(AI5:AI7)*'Power - Tax Credits'!$B$13*'Economy - IRA'!$B$27</f>
        <v>110.95636507334015</v>
      </c>
      <c r="J5" s="7"/>
      <c r="AE5" t="s">
        <v>22</v>
      </c>
      <c r="AF5">
        <v>1.43</v>
      </c>
      <c r="AG5">
        <v>0.54</v>
      </c>
      <c r="AH5">
        <v>1.22</v>
      </c>
      <c r="AI5">
        <v>1.0900000000000001</v>
      </c>
    </row>
    <row r="6" spans="1:35" x14ac:dyDescent="0.35">
      <c r="A6" t="s">
        <v>100</v>
      </c>
      <c r="B6" t="s">
        <v>97</v>
      </c>
      <c r="C6" s="7">
        <f>'Tax Credit Figure'!C6</f>
        <v>1.3090000000000002</v>
      </c>
      <c r="D6" s="7">
        <f>'Tax Credit Figure'!D6</f>
        <v>3.2290000000000001</v>
      </c>
      <c r="E6" s="7">
        <f>3*AF9*'Power - Tax Credits'!$B$13*'Economy - IRA'!$B$27</f>
        <v>0</v>
      </c>
      <c r="F6" s="7">
        <f>E6+5*AG9*'Power - Tax Credits'!$B$13*'Economy - IRA'!$B$27</f>
        <v>0</v>
      </c>
      <c r="G6" s="7">
        <f>F6+5*AH9*'Power - Tax Credits'!$B$13*'Economy - IRA'!$B$27</f>
        <v>0</v>
      </c>
      <c r="H6" s="7">
        <f>G6+5*AI9*'Power - Tax Credits'!$B$13*'Economy - IRA'!$B$27</f>
        <v>0</v>
      </c>
      <c r="J6" s="7"/>
      <c r="AE6" t="s">
        <v>23</v>
      </c>
      <c r="AF6">
        <v>7.3</v>
      </c>
      <c r="AG6">
        <v>4.16</v>
      </c>
      <c r="AH6">
        <v>1.55</v>
      </c>
      <c r="AI6">
        <v>0</v>
      </c>
    </row>
    <row r="7" spans="1:35" x14ac:dyDescent="0.35">
      <c r="A7" t="s">
        <v>103</v>
      </c>
      <c r="B7" t="s">
        <v>98</v>
      </c>
      <c r="C7" s="7">
        <f>'Tax Credit Figure'!C7</f>
        <v>12.816000000000001</v>
      </c>
      <c r="D7" s="7">
        <f>'Tax Credit Figure'!D7</f>
        <v>35.994999999999997</v>
      </c>
      <c r="E7" s="7">
        <f>3*AF24*'Economy - IRA'!$B$27</f>
        <v>0</v>
      </c>
      <c r="F7" s="7">
        <f>E7+5*AG24*'Economy - IRA'!$B$27</f>
        <v>23.519507687017324</v>
      </c>
      <c r="G7" s="7">
        <f>F7+5*AH24*'Economy - IRA'!$B$27</f>
        <v>23.519507687017324</v>
      </c>
      <c r="H7" s="7">
        <f>G7+5*AI24*'Economy - IRA'!$B$27</f>
        <v>23.519507687017324</v>
      </c>
      <c r="J7" s="7"/>
      <c r="AE7" t="s">
        <v>24</v>
      </c>
      <c r="AF7">
        <v>1.62</v>
      </c>
      <c r="AG7">
        <v>0.94</v>
      </c>
      <c r="AH7">
        <v>0.65</v>
      </c>
      <c r="AI7">
        <v>0.54</v>
      </c>
    </row>
    <row r="8" spans="1:35" x14ac:dyDescent="0.35">
      <c r="A8" t="s">
        <v>104</v>
      </c>
      <c r="B8" t="s">
        <v>62</v>
      </c>
      <c r="C8" s="7">
        <f>'Tax Credit Figure'!C8</f>
        <v>28.728999999999999</v>
      </c>
      <c r="D8" s="7">
        <f>'Tax Credit Figure'!D8</f>
        <v>74.388999999999996</v>
      </c>
      <c r="E8" s="7">
        <f>3*AF25*'Economy - IRA'!$B$27</f>
        <v>26.414216325419453</v>
      </c>
      <c r="F8" s="7">
        <f>E8+5*AG25*'Economy - IRA'!$B$27</f>
        <v>71.040974500785651</v>
      </c>
      <c r="G8" s="7">
        <f>F8+5*AH25*'Economy - IRA'!$B$27</f>
        <v>71.040974500785651</v>
      </c>
      <c r="H8" s="7">
        <f>G8+5*AI25*'Economy - IRA'!$B$27</f>
        <v>71.040974500785651</v>
      </c>
      <c r="J8" s="7"/>
      <c r="AE8" t="s">
        <v>25</v>
      </c>
      <c r="AF8">
        <v>4.07</v>
      </c>
      <c r="AG8">
        <v>2.68</v>
      </c>
      <c r="AH8">
        <v>8.68</v>
      </c>
      <c r="AI8">
        <v>17.329999999999998</v>
      </c>
    </row>
    <row r="9" spans="1:35" x14ac:dyDescent="0.35">
      <c r="B9" t="s">
        <v>130</v>
      </c>
      <c r="E9" s="7">
        <f>3*AF10*'Economy - IRA'!$B$27</f>
        <v>0</v>
      </c>
      <c r="F9" s="7">
        <f>E9+5*AG10*'Power - Tax Credits'!$B$13*'Economy - IRA'!$B$27</f>
        <v>0</v>
      </c>
      <c r="G9" s="7">
        <f>F9+5*AH10*'Power - Tax Credits'!$B$13*'Economy - IRA'!$B$27</f>
        <v>0</v>
      </c>
      <c r="H9" s="7">
        <f>G9+5*AI10*'Power - Tax Credits'!$B$13*'Economy - IRA'!$B$27</f>
        <v>0</v>
      </c>
      <c r="AE9" t="s">
        <v>26</v>
      </c>
      <c r="AF9">
        <v>0</v>
      </c>
      <c r="AG9">
        <v>0</v>
      </c>
      <c r="AH9">
        <v>0</v>
      </c>
      <c r="AI9">
        <v>0</v>
      </c>
    </row>
    <row r="10" spans="1:35" x14ac:dyDescent="0.35">
      <c r="B10" t="s">
        <v>87</v>
      </c>
      <c r="C10" s="7">
        <f>SUM(C4:C9)</f>
        <v>75.786000000000001</v>
      </c>
      <c r="D10" s="7">
        <f t="shared" ref="D10:H10" si="0">SUM(D4:D9)</f>
        <v>270.67399999999998</v>
      </c>
      <c r="E10" s="7">
        <f t="shared" si="0"/>
        <v>83.218622870658436</v>
      </c>
      <c r="F10" s="7">
        <f t="shared" si="0"/>
        <v>205.98956076914789</v>
      </c>
      <c r="G10" s="7">
        <f t="shared" si="0"/>
        <v>285.43169197550384</v>
      </c>
      <c r="H10" s="7">
        <f t="shared" si="0"/>
        <v>409.91291575009137</v>
      </c>
      <c r="J10" s="7"/>
      <c r="AE10" t="s">
        <v>51</v>
      </c>
      <c r="AF10">
        <v>0</v>
      </c>
      <c r="AG10">
        <v>0</v>
      </c>
      <c r="AH10">
        <v>0</v>
      </c>
      <c r="AI10">
        <v>0</v>
      </c>
    </row>
    <row r="11" spans="1:35" x14ac:dyDescent="0.35">
      <c r="C11" s="12"/>
      <c r="D11" s="12"/>
      <c r="E11" s="12"/>
      <c r="F11" s="12"/>
      <c r="G11" s="12"/>
      <c r="H11" s="12"/>
    </row>
    <row r="12" spans="1:35" x14ac:dyDescent="0.35">
      <c r="E12" s="12"/>
      <c r="F12" s="12"/>
      <c r="G12" s="12"/>
      <c r="H12" s="12"/>
      <c r="AE12" t="s">
        <v>131</v>
      </c>
    </row>
    <row r="13" spans="1:35" x14ac:dyDescent="0.35">
      <c r="AF13">
        <v>2025</v>
      </c>
      <c r="AG13">
        <v>2030</v>
      </c>
      <c r="AH13">
        <v>2035</v>
      </c>
      <c r="AI13">
        <v>2040</v>
      </c>
    </row>
    <row r="14" spans="1:35" x14ac:dyDescent="0.35">
      <c r="AE14" t="s">
        <v>0</v>
      </c>
      <c r="AF14">
        <v>105.3</v>
      </c>
      <c r="AG14">
        <v>115.8</v>
      </c>
      <c r="AH14">
        <v>121.1</v>
      </c>
      <c r="AI14">
        <v>125.2</v>
      </c>
    </row>
    <row r="15" spans="1:35" x14ac:dyDescent="0.35">
      <c r="AE15" t="s">
        <v>1</v>
      </c>
      <c r="AF15">
        <v>387.2</v>
      </c>
      <c r="AG15">
        <v>433.5</v>
      </c>
      <c r="AH15">
        <v>425.6</v>
      </c>
      <c r="AI15">
        <v>442.8</v>
      </c>
    </row>
    <row r="16" spans="1:35" x14ac:dyDescent="0.35">
      <c r="AE16" t="s">
        <v>2</v>
      </c>
      <c r="AF16">
        <v>676.5</v>
      </c>
      <c r="AG16">
        <v>658</v>
      </c>
      <c r="AH16">
        <v>626.1</v>
      </c>
      <c r="AI16">
        <v>580.79999999999995</v>
      </c>
    </row>
    <row r="17" spans="4:35" x14ac:dyDescent="0.35">
      <c r="AE17" t="s">
        <v>3</v>
      </c>
      <c r="AF17">
        <v>-0.1</v>
      </c>
      <c r="AG17">
        <v>-0.4</v>
      </c>
      <c r="AH17">
        <v>-0.1</v>
      </c>
      <c r="AI17">
        <v>-0.1</v>
      </c>
    </row>
    <row r="18" spans="4:35" x14ac:dyDescent="0.35">
      <c r="AE18" t="s">
        <v>4</v>
      </c>
      <c r="AF18">
        <v>676.5</v>
      </c>
      <c r="AG18">
        <v>658</v>
      </c>
      <c r="AH18">
        <v>626.1</v>
      </c>
      <c r="AI18">
        <v>580.79999999999995</v>
      </c>
    </row>
    <row r="19" spans="4:35" x14ac:dyDescent="0.35">
      <c r="AE19" t="s">
        <v>5</v>
      </c>
      <c r="AF19">
        <v>109.3</v>
      </c>
      <c r="AG19">
        <v>103.9</v>
      </c>
      <c r="AH19">
        <v>118.9</v>
      </c>
      <c r="AI19">
        <v>121</v>
      </c>
    </row>
    <row r="20" spans="4:35" x14ac:dyDescent="0.35">
      <c r="AE20" t="s">
        <v>6</v>
      </c>
      <c r="AF20">
        <v>108.5</v>
      </c>
      <c r="AG20">
        <v>107.3</v>
      </c>
      <c r="AH20">
        <v>108</v>
      </c>
      <c r="AI20">
        <v>106.2</v>
      </c>
    </row>
    <row r="21" spans="4:35" x14ac:dyDescent="0.35">
      <c r="AE21" t="s">
        <v>7</v>
      </c>
      <c r="AF21">
        <v>251.5</v>
      </c>
      <c r="AG21">
        <v>237.1</v>
      </c>
      <c r="AH21">
        <v>243.4</v>
      </c>
      <c r="AI21">
        <v>251.4</v>
      </c>
    </row>
    <row r="22" spans="4:35" x14ac:dyDescent="0.35">
      <c r="AE22" t="s">
        <v>8</v>
      </c>
      <c r="AF22">
        <v>1306.9000000000001</v>
      </c>
      <c r="AG22">
        <v>1381.3</v>
      </c>
      <c r="AH22">
        <v>1389.3</v>
      </c>
      <c r="AI22">
        <v>1417.2</v>
      </c>
    </row>
    <row r="23" spans="4:35" x14ac:dyDescent="0.35">
      <c r="AE23" t="s">
        <v>9</v>
      </c>
      <c r="AF23">
        <v>334.8</v>
      </c>
      <c r="AG23">
        <v>327</v>
      </c>
      <c r="AH23">
        <v>342.4</v>
      </c>
      <c r="AI23">
        <v>368.9</v>
      </c>
    </row>
    <row r="24" spans="4:35" x14ac:dyDescent="0.35">
      <c r="AE24" t="s">
        <v>28</v>
      </c>
      <c r="AF24">
        <v>0</v>
      </c>
      <c r="AG24">
        <v>3.9</v>
      </c>
    </row>
    <row r="25" spans="4:35" x14ac:dyDescent="0.35">
      <c r="AE25" t="s">
        <v>29</v>
      </c>
      <c r="AF25">
        <v>7.3</v>
      </c>
      <c r="AG25">
        <v>7.4</v>
      </c>
    </row>
    <row r="26" spans="4:35" x14ac:dyDescent="0.35">
      <c r="AE26" t="s">
        <v>10</v>
      </c>
      <c r="AF26">
        <v>2111</v>
      </c>
      <c r="AG26">
        <v>2156.6999999999998</v>
      </c>
      <c r="AH26">
        <v>2202</v>
      </c>
      <c r="AI26">
        <v>2264.8000000000002</v>
      </c>
    </row>
    <row r="27" spans="4:35" x14ac:dyDescent="0.35">
      <c r="AE27" t="s">
        <v>11</v>
      </c>
      <c r="AF27">
        <v>3174.6</v>
      </c>
      <c r="AG27">
        <v>3247.8</v>
      </c>
      <c r="AH27">
        <v>3253.6</v>
      </c>
      <c r="AI27">
        <v>3288.4</v>
      </c>
    </row>
    <row r="28" spans="4:35" x14ac:dyDescent="0.35">
      <c r="AE28" t="s">
        <v>12</v>
      </c>
      <c r="AF28">
        <v>-0.1</v>
      </c>
      <c r="AG28">
        <v>-0.4</v>
      </c>
      <c r="AH28">
        <v>-0.1</v>
      </c>
      <c r="AI28">
        <v>-0.1</v>
      </c>
    </row>
    <row r="29" spans="4:35" x14ac:dyDescent="0.35">
      <c r="D29" s="14" t="s">
        <v>125</v>
      </c>
      <c r="E29" s="14"/>
      <c r="F29" s="14"/>
      <c r="G29" s="14"/>
      <c r="H29" s="14"/>
      <c r="I29" s="14"/>
      <c r="AE29" t="s">
        <v>13</v>
      </c>
      <c r="AF29">
        <v>387</v>
      </c>
      <c r="AG29">
        <v>433.1</v>
      </c>
      <c r="AH29">
        <v>425.5</v>
      </c>
      <c r="AI29">
        <v>442.8</v>
      </c>
    </row>
    <row r="30" spans="4:35" x14ac:dyDescent="0.35">
      <c r="D30" s="14"/>
      <c r="E30" s="14">
        <v>2025</v>
      </c>
      <c r="F30" s="14">
        <v>2030</v>
      </c>
      <c r="G30" s="14">
        <v>2035</v>
      </c>
      <c r="H30" s="14">
        <v>2040</v>
      </c>
      <c r="I30" s="14"/>
      <c r="AE30" t="s">
        <v>14</v>
      </c>
      <c r="AF30">
        <v>105.3</v>
      </c>
      <c r="AG30">
        <v>115.8</v>
      </c>
      <c r="AH30">
        <v>121.1</v>
      </c>
      <c r="AI30">
        <v>125.2</v>
      </c>
    </row>
    <row r="31" spans="4:35" x14ac:dyDescent="0.35">
      <c r="D31" s="14" t="s">
        <v>95</v>
      </c>
      <c r="E31" s="15">
        <f>AF8*'Power - Tax Credits'!$B$13*'Economy - IRA'!$B$27</f>
        <v>5.344288826609402</v>
      </c>
      <c r="F31" s="15">
        <f>AG8*'Power - Tax Credits'!$B$13*'Economy - IRA'!$B$27</f>
        <v>3.5190894484799013</v>
      </c>
      <c r="G31" s="15">
        <f>AH8*'Power - Tax Credits'!$B$13*'Economy - IRA'!$B$27</f>
        <v>11.397647915225946</v>
      </c>
      <c r="H31" s="15">
        <f>AI8*'Power - Tax Credits'!$B$13*'Economy - IRA'!$B$27</f>
        <v>22.755903038118163</v>
      </c>
      <c r="I31" s="15"/>
    </row>
    <row r="32" spans="4:35" x14ac:dyDescent="0.35">
      <c r="D32" s="14" t="s">
        <v>96</v>
      </c>
      <c r="E32" s="15">
        <f>SUM(AF5:AF7)*'Power - Tax Credits'!$B$13*'Economy - IRA'!$B$27</f>
        <v>13.590513355136931</v>
      </c>
      <c r="F32" s="15">
        <f>SUM(AG5:AG7)*'Power - Tax Credits'!$B$13*'Economy - IRA'!$B$27</f>
        <v>7.4058449587412847</v>
      </c>
      <c r="G32" s="15">
        <f>SUM(AH5:AH7)*'Power - Tax Credits'!$B$13*'Economy - IRA'!$B$27</f>
        <v>4.4907783260452465</v>
      </c>
      <c r="H32" s="15">
        <f>SUM(AI5:AI7)*'Power - Tax Credits'!$B$13*'Economy - IRA'!$B$27</f>
        <v>2.1403417167993428</v>
      </c>
      <c r="I32" s="15"/>
    </row>
    <row r="33" spans="2:23" x14ac:dyDescent="0.35">
      <c r="D33" s="14" t="s">
        <v>97</v>
      </c>
      <c r="E33" s="15">
        <f>AF9*'Power - Tax Credits'!$B$13*'Economy - IRA'!$B$27</f>
        <v>0</v>
      </c>
      <c r="F33" s="15">
        <f>AG9*'Power - Tax Credits'!$B$13*'Economy - IRA'!$B$27</f>
        <v>0</v>
      </c>
      <c r="G33" s="15">
        <f>AH9*'Power - Tax Credits'!$B$13*'Economy - IRA'!$B$27</f>
        <v>0</v>
      </c>
      <c r="H33" s="15">
        <f>AI9*'Power - Tax Credits'!$B$13*'Economy - IRA'!$B$27</f>
        <v>0</v>
      </c>
      <c r="I33" s="15"/>
    </row>
    <row r="34" spans="2:23" x14ac:dyDescent="0.35">
      <c r="D34" s="14" t="s">
        <v>98</v>
      </c>
      <c r="E34" s="15">
        <f>AF24*'Economy - IRA'!$B$27</f>
        <v>0</v>
      </c>
      <c r="F34" s="15">
        <f>AG24*'Economy - IRA'!$B$27</f>
        <v>4.7039015374034641</v>
      </c>
      <c r="G34" s="15">
        <f>AH24*'Economy - IRA'!$B$27</f>
        <v>0</v>
      </c>
      <c r="H34" s="15">
        <f>AI24*'Economy - IRA'!$B$27</f>
        <v>0</v>
      </c>
      <c r="I34" s="15"/>
    </row>
    <row r="35" spans="2:23" x14ac:dyDescent="0.35">
      <c r="D35" s="14" t="s">
        <v>62</v>
      </c>
      <c r="E35" s="15">
        <f>AF25*'Economy - IRA'!$B$27</f>
        <v>8.8047387751398176</v>
      </c>
      <c r="F35" s="15">
        <f>AG25*'Economy - IRA'!$B$27</f>
        <v>8.9253516350732411</v>
      </c>
      <c r="G35" s="15">
        <f>AH25*'Economy - IRA'!$B$27</f>
        <v>0</v>
      </c>
      <c r="H35" s="15">
        <f>AI25*'Economy - IRA'!$B$27</f>
        <v>0</v>
      </c>
      <c r="I35" s="15"/>
    </row>
    <row r="36" spans="2:23" x14ac:dyDescent="0.35">
      <c r="D36" s="14" t="s">
        <v>130</v>
      </c>
      <c r="E36" s="15">
        <f>AF10*'Power - Tax Credits'!$B$13*'Economy - IRA'!$B$27</f>
        <v>0</v>
      </c>
      <c r="F36" s="15">
        <f>AG10*'Power - Tax Credits'!$B$13*'Economy - IRA'!$B$27</f>
        <v>0</v>
      </c>
      <c r="G36" s="15">
        <f>AH10*'Power - Tax Credits'!$B$13*'Economy - IRA'!$B$27</f>
        <v>0</v>
      </c>
      <c r="H36" s="15">
        <f>AI10*'Power - Tax Credits'!$B$13*'Economy - IRA'!$B$27</f>
        <v>0</v>
      </c>
      <c r="I36" s="15"/>
    </row>
    <row r="37" spans="2:23" x14ac:dyDescent="0.35">
      <c r="D37" s="14"/>
      <c r="E37" s="15"/>
      <c r="F37" s="15"/>
      <c r="G37" s="15"/>
      <c r="H37" s="15"/>
      <c r="I37" s="15"/>
    </row>
    <row r="38" spans="2:23" x14ac:dyDescent="0.35">
      <c r="D38" s="14"/>
      <c r="E38" s="15"/>
      <c r="F38" s="15"/>
      <c r="G38" s="15"/>
      <c r="H38" s="15"/>
      <c r="I38" s="15"/>
    </row>
    <row r="39" spans="2:23" x14ac:dyDescent="0.35">
      <c r="D39" s="14"/>
      <c r="E39" s="15"/>
      <c r="F39" s="15"/>
      <c r="G39" s="15"/>
      <c r="H39" s="15"/>
      <c r="I39" s="15"/>
    </row>
    <row r="40" spans="2:23" x14ac:dyDescent="0.35">
      <c r="D40" s="14"/>
      <c r="E40" s="15"/>
      <c r="F40" s="15"/>
      <c r="G40" s="15"/>
      <c r="H40" s="15"/>
      <c r="I40" s="15"/>
    </row>
    <row r="42" spans="2:23" x14ac:dyDescent="0.35">
      <c r="B42" s="14"/>
      <c r="C42" s="14" t="s">
        <v>122</v>
      </c>
      <c r="D42" s="14">
        <v>0.02</v>
      </c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</row>
    <row r="43" spans="2:23" x14ac:dyDescent="0.35"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</row>
    <row r="44" spans="2:23" x14ac:dyDescent="0.35">
      <c r="B44" s="14"/>
      <c r="C44" s="14" t="s">
        <v>121</v>
      </c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</row>
    <row r="45" spans="2:23" x14ac:dyDescent="0.35">
      <c r="B45" s="14"/>
      <c r="C45" s="14">
        <v>2022</v>
      </c>
      <c r="D45" s="14">
        <v>2023</v>
      </c>
      <c r="E45" s="14">
        <v>2024</v>
      </c>
      <c r="F45" s="14">
        <v>2025</v>
      </c>
      <c r="G45" s="14">
        <v>2026</v>
      </c>
      <c r="H45" s="14">
        <v>2027</v>
      </c>
      <c r="I45" s="14">
        <v>2028</v>
      </c>
      <c r="J45" s="14">
        <v>2029</v>
      </c>
      <c r="K45" s="14">
        <v>2030</v>
      </c>
      <c r="L45" s="14">
        <v>2031</v>
      </c>
      <c r="M45" s="14">
        <v>2032</v>
      </c>
      <c r="N45" s="14">
        <v>2033</v>
      </c>
      <c r="O45" s="14">
        <v>2034</v>
      </c>
      <c r="P45" s="14">
        <v>2035</v>
      </c>
      <c r="Q45" s="14">
        <v>2036</v>
      </c>
      <c r="R45" s="14">
        <v>2037</v>
      </c>
      <c r="S45" s="14">
        <v>2038</v>
      </c>
      <c r="T45" s="14">
        <v>2039</v>
      </c>
      <c r="U45" s="14">
        <v>2040</v>
      </c>
      <c r="V45" s="14"/>
      <c r="W45" s="14"/>
    </row>
    <row r="46" spans="2:23" x14ac:dyDescent="0.35">
      <c r="B46" s="14"/>
      <c r="C46" s="14">
        <f>GDPDEF_Annual!B87</f>
        <v>126.26900000000001</v>
      </c>
      <c r="D46" s="14">
        <f t="shared" ref="D46:U46" si="1">(1+$D$42)*C46</f>
        <v>128.79438000000002</v>
      </c>
      <c r="E46" s="14">
        <f t="shared" si="1"/>
        <v>131.37026760000003</v>
      </c>
      <c r="F46" s="14">
        <f t="shared" si="1"/>
        <v>133.99767295200004</v>
      </c>
      <c r="G46" s="14">
        <f t="shared" si="1"/>
        <v>136.67762641104005</v>
      </c>
      <c r="H46" s="14">
        <f t="shared" si="1"/>
        <v>139.41117893926085</v>
      </c>
      <c r="I46" s="14">
        <f t="shared" si="1"/>
        <v>142.19940251804607</v>
      </c>
      <c r="J46" s="14">
        <f t="shared" si="1"/>
        <v>145.04339056840701</v>
      </c>
      <c r="K46" s="14">
        <f t="shared" si="1"/>
        <v>147.94425837977514</v>
      </c>
      <c r="L46" s="14">
        <f t="shared" si="1"/>
        <v>150.90314354737063</v>
      </c>
      <c r="M46" s="14">
        <f t="shared" si="1"/>
        <v>153.92120641831804</v>
      </c>
      <c r="N46" s="14">
        <f t="shared" si="1"/>
        <v>156.99963054668439</v>
      </c>
      <c r="O46" s="14">
        <f t="shared" si="1"/>
        <v>160.13962315761808</v>
      </c>
      <c r="P46" s="14">
        <f t="shared" si="1"/>
        <v>163.34241562077045</v>
      </c>
      <c r="Q46" s="14">
        <f t="shared" si="1"/>
        <v>166.60926393318587</v>
      </c>
      <c r="R46" s="14">
        <f t="shared" si="1"/>
        <v>169.9414492118496</v>
      </c>
      <c r="S46" s="14">
        <f t="shared" si="1"/>
        <v>173.34027819608659</v>
      </c>
      <c r="T46" s="14">
        <f t="shared" si="1"/>
        <v>176.80708376000831</v>
      </c>
      <c r="U46" s="14">
        <f t="shared" si="1"/>
        <v>180.34322543520847</v>
      </c>
      <c r="V46" s="14"/>
      <c r="W46" s="14"/>
    </row>
    <row r="47" spans="2:23" x14ac:dyDescent="0.35"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</row>
    <row r="48" spans="2:23" x14ac:dyDescent="0.35">
      <c r="C48" s="14" t="s">
        <v>124</v>
      </c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2:24" x14ac:dyDescent="0.35">
      <c r="B49" s="14"/>
      <c r="C49" s="14"/>
      <c r="D49" s="14">
        <v>2023</v>
      </c>
      <c r="E49" s="14">
        <v>2024</v>
      </c>
      <c r="F49" s="14">
        <v>2025</v>
      </c>
      <c r="G49" s="14">
        <v>2026</v>
      </c>
      <c r="H49" s="14">
        <v>2027</v>
      </c>
      <c r="I49" s="14">
        <v>2028</v>
      </c>
      <c r="J49" s="14">
        <v>2029</v>
      </c>
      <c r="K49" s="14">
        <v>2030</v>
      </c>
      <c r="L49" s="14">
        <v>2031</v>
      </c>
      <c r="M49" s="14">
        <v>2032</v>
      </c>
      <c r="N49" s="14">
        <v>2033</v>
      </c>
      <c r="O49" s="14">
        <v>2034</v>
      </c>
      <c r="P49" s="14">
        <v>2035</v>
      </c>
      <c r="Q49" s="14">
        <v>2036</v>
      </c>
      <c r="R49" s="14">
        <v>2037</v>
      </c>
      <c r="S49" s="14">
        <v>2038</v>
      </c>
      <c r="T49" s="14">
        <v>2039</v>
      </c>
      <c r="U49" s="14">
        <v>2040</v>
      </c>
      <c r="V49" s="14"/>
      <c r="W49" s="14"/>
      <c r="X49" s="14" t="s">
        <v>132</v>
      </c>
    </row>
    <row r="50" spans="2:24" x14ac:dyDescent="0.35">
      <c r="C50" s="14" t="s">
        <v>95</v>
      </c>
      <c r="D50" s="15">
        <f>$E31</f>
        <v>5.344288826609402</v>
      </c>
      <c r="E50" s="15">
        <f>$E31</f>
        <v>5.344288826609402</v>
      </c>
      <c r="F50" s="15">
        <f>$E31</f>
        <v>5.344288826609402</v>
      </c>
      <c r="G50" s="15">
        <f>$F31</f>
        <v>3.5190894484799013</v>
      </c>
      <c r="H50" s="15">
        <f t="shared" ref="H50:K50" si="2">$F31</f>
        <v>3.5190894484799013</v>
      </c>
      <c r="I50" s="15">
        <f t="shared" si="2"/>
        <v>3.5190894484799013</v>
      </c>
      <c r="J50" s="15">
        <f t="shared" si="2"/>
        <v>3.5190894484799013</v>
      </c>
      <c r="K50" s="15">
        <f t="shared" si="2"/>
        <v>3.5190894484799013</v>
      </c>
      <c r="L50" s="15">
        <f>$G31</f>
        <v>11.397647915225946</v>
      </c>
      <c r="M50" s="15">
        <f t="shared" ref="M50:P55" si="3">$G31</f>
        <v>11.397647915225946</v>
      </c>
      <c r="N50" s="15">
        <f t="shared" si="3"/>
        <v>11.397647915225946</v>
      </c>
      <c r="O50" s="15">
        <f t="shared" si="3"/>
        <v>11.397647915225946</v>
      </c>
      <c r="P50" s="15">
        <f t="shared" si="3"/>
        <v>11.397647915225946</v>
      </c>
      <c r="Q50" s="15">
        <f>$H31</f>
        <v>22.755903038118163</v>
      </c>
      <c r="R50" s="15">
        <f t="shared" ref="R50:U50" si="4">$H31</f>
        <v>22.755903038118163</v>
      </c>
      <c r="S50" s="15">
        <f t="shared" si="4"/>
        <v>22.755903038118163</v>
      </c>
      <c r="T50" s="15">
        <f t="shared" si="4"/>
        <v>22.755903038118163</v>
      </c>
      <c r="U50" s="15">
        <f t="shared" si="4"/>
        <v>22.755903038118163</v>
      </c>
      <c r="V50" s="14"/>
      <c r="W50" s="14"/>
      <c r="X50" s="15">
        <f>SUM(D50:U50)</f>
        <v>204.39606848894826</v>
      </c>
    </row>
    <row r="51" spans="2:24" x14ac:dyDescent="0.35">
      <c r="C51" s="14" t="s">
        <v>96</v>
      </c>
      <c r="D51" s="15">
        <f t="shared" ref="D51:F55" si="5">$E32</f>
        <v>13.590513355136931</v>
      </c>
      <c r="E51" s="15">
        <f t="shared" si="5"/>
        <v>13.590513355136931</v>
      </c>
      <c r="F51" s="15">
        <f t="shared" si="5"/>
        <v>13.590513355136931</v>
      </c>
      <c r="G51" s="15">
        <f t="shared" ref="G51:K55" si="6">$F32</f>
        <v>7.4058449587412847</v>
      </c>
      <c r="H51" s="15">
        <f t="shared" si="6"/>
        <v>7.4058449587412847</v>
      </c>
      <c r="I51" s="15">
        <f t="shared" si="6"/>
        <v>7.4058449587412847</v>
      </c>
      <c r="J51" s="15">
        <f t="shared" si="6"/>
        <v>7.4058449587412847</v>
      </c>
      <c r="K51" s="15">
        <f t="shared" si="6"/>
        <v>7.4058449587412847</v>
      </c>
      <c r="L51" s="15">
        <f t="shared" ref="L51:O55" si="7">$G32</f>
        <v>4.4907783260452465</v>
      </c>
      <c r="M51" s="15">
        <f t="shared" si="7"/>
        <v>4.4907783260452465</v>
      </c>
      <c r="N51" s="15">
        <f t="shared" si="7"/>
        <v>4.4907783260452465</v>
      </c>
      <c r="O51" s="15">
        <f t="shared" si="7"/>
        <v>4.4907783260452465</v>
      </c>
      <c r="P51" s="15">
        <f t="shared" si="3"/>
        <v>4.4907783260452465</v>
      </c>
      <c r="Q51" s="15">
        <f t="shared" ref="Q51:U55" si="8">$H32</f>
        <v>2.1403417167993428</v>
      </c>
      <c r="R51" s="15">
        <f t="shared" si="8"/>
        <v>2.1403417167993428</v>
      </c>
      <c r="S51" s="15">
        <f t="shared" si="8"/>
        <v>2.1403417167993428</v>
      </c>
      <c r="T51" s="15">
        <f t="shared" si="8"/>
        <v>2.1403417167993428</v>
      </c>
      <c r="U51" s="15">
        <f t="shared" si="8"/>
        <v>2.1403417167993428</v>
      </c>
      <c r="V51" s="14"/>
      <c r="W51" s="14"/>
      <c r="X51" s="15">
        <f t="shared" ref="X51:X62" si="9">SUM(D51:U51)</f>
        <v>110.95636507334014</v>
      </c>
    </row>
    <row r="52" spans="2:24" x14ac:dyDescent="0.35">
      <c r="C52" s="14" t="s">
        <v>97</v>
      </c>
      <c r="D52" s="15">
        <f t="shared" si="5"/>
        <v>0</v>
      </c>
      <c r="E52" s="15">
        <f t="shared" si="5"/>
        <v>0</v>
      </c>
      <c r="F52" s="15">
        <f t="shared" si="5"/>
        <v>0</v>
      </c>
      <c r="G52" s="15">
        <f t="shared" si="6"/>
        <v>0</v>
      </c>
      <c r="H52" s="15">
        <f t="shared" si="6"/>
        <v>0</v>
      </c>
      <c r="I52" s="15">
        <f t="shared" si="6"/>
        <v>0</v>
      </c>
      <c r="J52" s="15">
        <f t="shared" si="6"/>
        <v>0</v>
      </c>
      <c r="K52" s="15">
        <f t="shared" si="6"/>
        <v>0</v>
      </c>
      <c r="L52" s="15">
        <f t="shared" si="7"/>
        <v>0</v>
      </c>
      <c r="M52" s="15">
        <f t="shared" si="7"/>
        <v>0</v>
      </c>
      <c r="N52" s="15">
        <f t="shared" si="7"/>
        <v>0</v>
      </c>
      <c r="O52" s="15">
        <f t="shared" si="7"/>
        <v>0</v>
      </c>
      <c r="P52" s="15">
        <f t="shared" si="3"/>
        <v>0</v>
      </c>
      <c r="Q52" s="15">
        <f t="shared" si="8"/>
        <v>0</v>
      </c>
      <c r="R52" s="15">
        <f t="shared" si="8"/>
        <v>0</v>
      </c>
      <c r="S52" s="15">
        <f t="shared" si="8"/>
        <v>0</v>
      </c>
      <c r="T52" s="15">
        <f t="shared" si="8"/>
        <v>0</v>
      </c>
      <c r="U52" s="15">
        <f t="shared" si="8"/>
        <v>0</v>
      </c>
      <c r="V52" s="14"/>
      <c r="W52" s="14"/>
      <c r="X52" s="15">
        <f t="shared" si="9"/>
        <v>0</v>
      </c>
    </row>
    <row r="53" spans="2:24" x14ac:dyDescent="0.35">
      <c r="C53" s="14" t="s">
        <v>98</v>
      </c>
      <c r="D53" s="15">
        <f t="shared" si="5"/>
        <v>0</v>
      </c>
      <c r="E53" s="15">
        <f t="shared" si="5"/>
        <v>0</v>
      </c>
      <c r="F53" s="15">
        <f t="shared" si="5"/>
        <v>0</v>
      </c>
      <c r="G53" s="15">
        <f t="shared" si="6"/>
        <v>4.7039015374034641</v>
      </c>
      <c r="H53" s="15">
        <f t="shared" si="6"/>
        <v>4.7039015374034641</v>
      </c>
      <c r="I53" s="15">
        <f t="shared" si="6"/>
        <v>4.7039015374034641</v>
      </c>
      <c r="J53" s="15">
        <f t="shared" si="6"/>
        <v>4.7039015374034641</v>
      </c>
      <c r="K53" s="15">
        <f t="shared" si="6"/>
        <v>4.7039015374034641</v>
      </c>
      <c r="L53" s="15">
        <f t="shared" si="7"/>
        <v>0</v>
      </c>
      <c r="M53" s="15">
        <f t="shared" si="7"/>
        <v>0</v>
      </c>
      <c r="N53" s="15">
        <f t="shared" si="7"/>
        <v>0</v>
      </c>
      <c r="O53" s="15">
        <f t="shared" si="7"/>
        <v>0</v>
      </c>
      <c r="P53" s="15">
        <f t="shared" si="3"/>
        <v>0</v>
      </c>
      <c r="Q53" s="15">
        <f t="shared" si="8"/>
        <v>0</v>
      </c>
      <c r="R53" s="15">
        <f t="shared" si="8"/>
        <v>0</v>
      </c>
      <c r="S53" s="15">
        <f t="shared" si="8"/>
        <v>0</v>
      </c>
      <c r="T53" s="15">
        <f t="shared" si="8"/>
        <v>0</v>
      </c>
      <c r="U53" s="15">
        <f t="shared" si="8"/>
        <v>0</v>
      </c>
      <c r="V53" s="14"/>
      <c r="W53" s="14"/>
      <c r="X53" s="15">
        <f t="shared" si="9"/>
        <v>23.51950768701732</v>
      </c>
    </row>
    <row r="54" spans="2:24" x14ac:dyDescent="0.35">
      <c r="C54" s="14" t="s">
        <v>62</v>
      </c>
      <c r="D54" s="15">
        <f t="shared" si="5"/>
        <v>8.8047387751398176</v>
      </c>
      <c r="E54" s="15">
        <f t="shared" si="5"/>
        <v>8.8047387751398176</v>
      </c>
      <c r="F54" s="15">
        <f t="shared" si="5"/>
        <v>8.8047387751398176</v>
      </c>
      <c r="G54" s="15">
        <f t="shared" si="6"/>
        <v>8.9253516350732411</v>
      </c>
      <c r="H54" s="15">
        <f t="shared" si="6"/>
        <v>8.9253516350732411</v>
      </c>
      <c r="I54" s="15">
        <f t="shared" si="6"/>
        <v>8.9253516350732411</v>
      </c>
      <c r="J54" s="15">
        <f t="shared" si="6"/>
        <v>8.9253516350732411</v>
      </c>
      <c r="K54" s="15">
        <f t="shared" si="6"/>
        <v>8.9253516350732411</v>
      </c>
      <c r="L54" s="15">
        <f t="shared" si="7"/>
        <v>0</v>
      </c>
      <c r="M54" s="15">
        <f t="shared" si="7"/>
        <v>0</v>
      </c>
      <c r="N54" s="15">
        <f t="shared" si="7"/>
        <v>0</v>
      </c>
      <c r="O54" s="15">
        <f t="shared" si="7"/>
        <v>0</v>
      </c>
      <c r="P54" s="15">
        <f t="shared" si="3"/>
        <v>0</v>
      </c>
      <c r="Q54" s="15">
        <f t="shared" si="8"/>
        <v>0</v>
      </c>
      <c r="R54" s="15">
        <f t="shared" si="8"/>
        <v>0</v>
      </c>
      <c r="S54" s="15">
        <f t="shared" si="8"/>
        <v>0</v>
      </c>
      <c r="T54" s="15">
        <f t="shared" si="8"/>
        <v>0</v>
      </c>
      <c r="U54" s="15">
        <f t="shared" si="8"/>
        <v>0</v>
      </c>
      <c r="V54" s="14"/>
      <c r="W54" s="14"/>
      <c r="X54" s="15">
        <f t="shared" si="9"/>
        <v>71.040974500785666</v>
      </c>
    </row>
    <row r="55" spans="2:24" x14ac:dyDescent="0.35">
      <c r="B55" s="14"/>
      <c r="C55" s="14" t="s">
        <v>130</v>
      </c>
      <c r="D55" s="15">
        <f t="shared" si="5"/>
        <v>0</v>
      </c>
      <c r="E55" s="15">
        <f t="shared" si="5"/>
        <v>0</v>
      </c>
      <c r="F55" s="15">
        <f t="shared" si="5"/>
        <v>0</v>
      </c>
      <c r="G55" s="15">
        <f t="shared" si="6"/>
        <v>0</v>
      </c>
      <c r="H55" s="15">
        <f t="shared" si="6"/>
        <v>0</v>
      </c>
      <c r="I55" s="15">
        <f t="shared" si="6"/>
        <v>0</v>
      </c>
      <c r="J55" s="15">
        <f t="shared" si="6"/>
        <v>0</v>
      </c>
      <c r="K55" s="15">
        <f t="shared" si="6"/>
        <v>0</v>
      </c>
      <c r="L55" s="15">
        <f t="shared" si="7"/>
        <v>0</v>
      </c>
      <c r="M55" s="15">
        <f t="shared" si="7"/>
        <v>0</v>
      </c>
      <c r="N55" s="15">
        <f t="shared" si="7"/>
        <v>0</v>
      </c>
      <c r="O55" s="15">
        <f t="shared" si="7"/>
        <v>0</v>
      </c>
      <c r="P55" s="15">
        <f t="shared" si="3"/>
        <v>0</v>
      </c>
      <c r="Q55" s="15">
        <f t="shared" si="8"/>
        <v>0</v>
      </c>
      <c r="R55" s="15">
        <f t="shared" si="8"/>
        <v>0</v>
      </c>
      <c r="S55" s="15">
        <f t="shared" si="8"/>
        <v>0</v>
      </c>
      <c r="T55" s="15">
        <f t="shared" si="8"/>
        <v>0</v>
      </c>
      <c r="U55" s="15">
        <f t="shared" si="8"/>
        <v>0</v>
      </c>
      <c r="V55" s="14"/>
      <c r="W55" s="14"/>
      <c r="X55" s="15"/>
    </row>
    <row r="56" spans="2:24" x14ac:dyDescent="0.35">
      <c r="B56" s="14"/>
      <c r="C56" s="14" t="s">
        <v>123</v>
      </c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5"/>
    </row>
    <row r="57" spans="2:24" x14ac:dyDescent="0.35">
      <c r="B57" s="14"/>
      <c r="C57" s="14"/>
      <c r="D57" s="14">
        <v>2023</v>
      </c>
      <c r="E57" s="14">
        <v>2024</v>
      </c>
      <c r="F57" s="14">
        <v>2025</v>
      </c>
      <c r="G57" s="14">
        <v>2026</v>
      </c>
      <c r="H57" s="14">
        <v>2027</v>
      </c>
      <c r="I57" s="14">
        <v>2028</v>
      </c>
      <c r="J57" s="14">
        <v>2029</v>
      </c>
      <c r="K57" s="14">
        <v>2030</v>
      </c>
      <c r="L57" s="14">
        <v>2031</v>
      </c>
      <c r="M57" s="14">
        <v>2032</v>
      </c>
      <c r="N57" s="14">
        <v>2033</v>
      </c>
      <c r="O57" s="14">
        <v>2034</v>
      </c>
      <c r="P57" s="14">
        <v>2035</v>
      </c>
      <c r="Q57" s="14">
        <v>2036</v>
      </c>
      <c r="R57" s="14">
        <v>2037</v>
      </c>
      <c r="S57" s="14">
        <v>2038</v>
      </c>
      <c r="T57" s="14">
        <v>2039</v>
      </c>
      <c r="U57" s="14">
        <v>2040</v>
      </c>
      <c r="V57" s="14"/>
      <c r="W57" s="14"/>
      <c r="X57" s="15" t="s">
        <v>132</v>
      </c>
    </row>
    <row r="58" spans="2:24" x14ac:dyDescent="0.35">
      <c r="B58" s="14"/>
      <c r="C58" s="14" t="s">
        <v>95</v>
      </c>
      <c r="D58" s="14">
        <f>D50*D$46/$C$46</f>
        <v>5.45117460314159</v>
      </c>
      <c r="E58" s="14">
        <f t="shared" ref="E58:U63" si="10">E50*E$46/$C$46</f>
        <v>5.5601980952044228</v>
      </c>
      <c r="F58" s="14">
        <f t="shared" si="10"/>
        <v>5.6714020571085122</v>
      </c>
      <c r="G58" s="14">
        <f t="shared" si="10"/>
        <v>3.8091755929513096</v>
      </c>
      <c r="H58" s="14">
        <f t="shared" si="10"/>
        <v>3.8853591048103358</v>
      </c>
      <c r="I58" s="14">
        <f t="shared" si="10"/>
        <v>3.9630662869065425</v>
      </c>
      <c r="J58" s="14">
        <f t="shared" si="10"/>
        <v>4.0423276126446739</v>
      </c>
      <c r="K58" s="14">
        <f t="shared" si="10"/>
        <v>4.1231741648975673</v>
      </c>
      <c r="L58" s="14">
        <f t="shared" si="10"/>
        <v>13.621244323260107</v>
      </c>
      <c r="M58" s="14">
        <f t="shared" si="10"/>
        <v>13.893669209725308</v>
      </c>
      <c r="N58" s="14">
        <f t="shared" si="10"/>
        <v>14.171542593919813</v>
      </c>
      <c r="O58" s="14">
        <f t="shared" si="10"/>
        <v>14.45497344579821</v>
      </c>
      <c r="P58" s="14">
        <f t="shared" si="10"/>
        <v>14.744072914714176</v>
      </c>
      <c r="Q58" s="14">
        <f t="shared" si="10"/>
        <v>30.025930793114817</v>
      </c>
      <c r="R58" s="14">
        <f t="shared" si="10"/>
        <v>30.62644940897712</v>
      </c>
      <c r="S58" s="14">
        <f t="shared" si="10"/>
        <v>31.238978397156661</v>
      </c>
      <c r="T58" s="14">
        <f t="shared" si="10"/>
        <v>31.86375796509979</v>
      </c>
      <c r="U58" s="14">
        <f t="shared" si="10"/>
        <v>32.501033124401786</v>
      </c>
      <c r="V58" s="14"/>
      <c r="W58" s="14"/>
      <c r="X58" s="15">
        <f t="shared" si="9"/>
        <v>263.64752969383278</v>
      </c>
    </row>
    <row r="59" spans="2:24" x14ac:dyDescent="0.35">
      <c r="B59" s="14"/>
      <c r="C59" s="14" t="s">
        <v>96</v>
      </c>
      <c r="D59" s="14">
        <f t="shared" ref="D59:S63" si="11">D51*D$46/$C$46</f>
        <v>13.862323622239671</v>
      </c>
      <c r="E59" s="14">
        <f t="shared" si="11"/>
        <v>14.139570094684466</v>
      </c>
      <c r="F59" s="14">
        <f t="shared" si="11"/>
        <v>14.422361496578157</v>
      </c>
      <c r="G59" s="14">
        <f t="shared" si="11"/>
        <v>8.0163247553154413</v>
      </c>
      <c r="H59" s="14">
        <f t="shared" si="11"/>
        <v>8.1766512504217506</v>
      </c>
      <c r="I59" s="14">
        <f t="shared" si="11"/>
        <v>8.340184275430186</v>
      </c>
      <c r="J59" s="14">
        <f t="shared" si="11"/>
        <v>8.5069879609387922</v>
      </c>
      <c r="K59" s="14">
        <f t="shared" si="11"/>
        <v>8.6771277201575661</v>
      </c>
      <c r="L59" s="14">
        <f t="shared" si="11"/>
        <v>5.3668958047868172</v>
      </c>
      <c r="M59" s="14">
        <f t="shared" si="11"/>
        <v>5.4742337208825536</v>
      </c>
      <c r="N59" s="14">
        <f t="shared" si="11"/>
        <v>5.5837183953002043</v>
      </c>
      <c r="O59" s="14">
        <f t="shared" si="11"/>
        <v>5.6953927632062085</v>
      </c>
      <c r="P59" s="14">
        <f t="shared" si="11"/>
        <v>5.8093006184703322</v>
      </c>
      <c r="Q59" s="14">
        <f t="shared" si="11"/>
        <v>2.8241354410142621</v>
      </c>
      <c r="R59" s="14">
        <f t="shared" si="11"/>
        <v>2.8806181498345476</v>
      </c>
      <c r="S59" s="14">
        <f t="shared" si="11"/>
        <v>2.9382305128312383</v>
      </c>
      <c r="T59" s="14">
        <f t="shared" si="10"/>
        <v>2.9969951230878631</v>
      </c>
      <c r="U59" s="14">
        <f t="shared" si="10"/>
        <v>3.0569350255496204</v>
      </c>
      <c r="V59" s="14"/>
      <c r="W59" s="14"/>
      <c r="X59" s="15">
        <f t="shared" si="9"/>
        <v>126.76798673072967</v>
      </c>
    </row>
    <row r="60" spans="2:24" x14ac:dyDescent="0.35">
      <c r="B60" s="14"/>
      <c r="C60" s="14" t="s">
        <v>97</v>
      </c>
      <c r="D60" s="14">
        <f t="shared" si="11"/>
        <v>0</v>
      </c>
      <c r="E60" s="14">
        <f t="shared" si="10"/>
        <v>0</v>
      </c>
      <c r="F60" s="14">
        <f t="shared" si="10"/>
        <v>0</v>
      </c>
      <c r="G60" s="14">
        <f t="shared" si="10"/>
        <v>0</v>
      </c>
      <c r="H60" s="14">
        <f t="shared" si="10"/>
        <v>0</v>
      </c>
      <c r="I60" s="14">
        <f t="shared" si="10"/>
        <v>0</v>
      </c>
      <c r="J60" s="14">
        <f t="shared" si="10"/>
        <v>0</v>
      </c>
      <c r="K60" s="14">
        <f t="shared" si="10"/>
        <v>0</v>
      </c>
      <c r="L60" s="14">
        <f t="shared" si="10"/>
        <v>0</v>
      </c>
      <c r="M60" s="14">
        <f t="shared" si="10"/>
        <v>0</v>
      </c>
      <c r="N60" s="14">
        <f t="shared" si="10"/>
        <v>0</v>
      </c>
      <c r="O60" s="14">
        <f t="shared" si="10"/>
        <v>0</v>
      </c>
      <c r="P60" s="14">
        <f t="shared" si="10"/>
        <v>0</v>
      </c>
      <c r="Q60" s="14">
        <f t="shared" si="10"/>
        <v>0</v>
      </c>
      <c r="R60" s="14">
        <f t="shared" si="10"/>
        <v>0</v>
      </c>
      <c r="S60" s="14">
        <f t="shared" si="10"/>
        <v>0</v>
      </c>
      <c r="T60" s="14">
        <f t="shared" si="10"/>
        <v>0</v>
      </c>
      <c r="U60" s="14">
        <f t="shared" si="10"/>
        <v>0</v>
      </c>
      <c r="V60" s="14"/>
      <c r="W60" s="14"/>
      <c r="X60" s="15">
        <f t="shared" si="9"/>
        <v>0</v>
      </c>
    </row>
    <row r="61" spans="2:24" x14ac:dyDescent="0.35">
      <c r="B61" s="14"/>
      <c r="C61" s="14" t="s">
        <v>98</v>
      </c>
      <c r="D61" s="14">
        <f t="shared" si="11"/>
        <v>0</v>
      </c>
      <c r="E61" s="14">
        <f t="shared" si="10"/>
        <v>0</v>
      </c>
      <c r="F61" s="14">
        <f t="shared" si="10"/>
        <v>0</v>
      </c>
      <c r="G61" s="14">
        <f t="shared" si="10"/>
        <v>5.0916543015589539</v>
      </c>
      <c r="H61" s="14">
        <f t="shared" si="10"/>
        <v>5.1934873875901326</v>
      </c>
      <c r="I61" s="14">
        <f t="shared" si="10"/>
        <v>5.2973571353419358</v>
      </c>
      <c r="J61" s="14">
        <f t="shared" si="10"/>
        <v>5.4033042780487754</v>
      </c>
      <c r="K61" s="14">
        <f t="shared" si="10"/>
        <v>5.5113703636097497</v>
      </c>
      <c r="L61" s="14">
        <f t="shared" si="10"/>
        <v>0</v>
      </c>
      <c r="M61" s="14">
        <f t="shared" si="10"/>
        <v>0</v>
      </c>
      <c r="N61" s="14">
        <f t="shared" si="10"/>
        <v>0</v>
      </c>
      <c r="O61" s="14">
        <f t="shared" si="10"/>
        <v>0</v>
      </c>
      <c r="P61" s="14">
        <f t="shared" si="10"/>
        <v>0</v>
      </c>
      <c r="Q61" s="14">
        <f t="shared" si="10"/>
        <v>0</v>
      </c>
      <c r="R61" s="14">
        <f t="shared" si="10"/>
        <v>0</v>
      </c>
      <c r="S61" s="14">
        <f t="shared" si="10"/>
        <v>0</v>
      </c>
      <c r="T61" s="14">
        <f t="shared" si="10"/>
        <v>0</v>
      </c>
      <c r="U61" s="14">
        <f t="shared" si="10"/>
        <v>0</v>
      </c>
      <c r="V61" s="14"/>
      <c r="W61" s="14"/>
      <c r="X61" s="15">
        <f t="shared" si="9"/>
        <v>26.497173466149547</v>
      </c>
    </row>
    <row r="62" spans="2:24" x14ac:dyDescent="0.35">
      <c r="B62" s="14"/>
      <c r="C62" s="14" t="s">
        <v>62</v>
      </c>
      <c r="D62" s="14">
        <f t="shared" si="11"/>
        <v>8.9808335506426147</v>
      </c>
      <c r="E62" s="14">
        <f t="shared" si="10"/>
        <v>9.1604502216554682</v>
      </c>
      <c r="F62" s="14">
        <f t="shared" si="10"/>
        <v>9.3436592260885778</v>
      </c>
      <c r="G62" s="14">
        <f t="shared" si="10"/>
        <v>9.6610876491118649</v>
      </c>
      <c r="H62" s="14">
        <f t="shared" si="10"/>
        <v>9.8543094020940991</v>
      </c>
      <c r="I62" s="14">
        <f t="shared" si="10"/>
        <v>10.051395590135984</v>
      </c>
      <c r="J62" s="14">
        <f t="shared" si="10"/>
        <v>10.252423501938702</v>
      </c>
      <c r="K62" s="14">
        <f t="shared" si="10"/>
        <v>10.457471971977478</v>
      </c>
      <c r="L62" s="14">
        <f t="shared" si="10"/>
        <v>0</v>
      </c>
      <c r="M62" s="14">
        <f t="shared" si="10"/>
        <v>0</v>
      </c>
      <c r="N62" s="14">
        <f t="shared" si="10"/>
        <v>0</v>
      </c>
      <c r="O62" s="14">
        <f t="shared" si="10"/>
        <v>0</v>
      </c>
      <c r="P62" s="14">
        <f t="shared" si="10"/>
        <v>0</v>
      </c>
      <c r="Q62" s="14">
        <f t="shared" si="10"/>
        <v>0</v>
      </c>
      <c r="R62" s="14">
        <f t="shared" si="10"/>
        <v>0</v>
      </c>
      <c r="S62" s="14">
        <f t="shared" si="10"/>
        <v>0</v>
      </c>
      <c r="T62" s="14">
        <f t="shared" si="10"/>
        <v>0</v>
      </c>
      <c r="U62" s="14">
        <f t="shared" si="10"/>
        <v>0</v>
      </c>
      <c r="V62" s="14"/>
      <c r="W62" s="14"/>
      <c r="X62" s="15">
        <f t="shared" si="9"/>
        <v>77.761631113644796</v>
      </c>
    </row>
    <row r="63" spans="2:24" x14ac:dyDescent="0.35">
      <c r="B63" s="14"/>
      <c r="C63" s="14" t="s">
        <v>130</v>
      </c>
      <c r="D63" s="14">
        <f t="shared" si="11"/>
        <v>0</v>
      </c>
      <c r="E63" s="14">
        <f t="shared" si="10"/>
        <v>0</v>
      </c>
      <c r="F63" s="14">
        <f t="shared" si="10"/>
        <v>0</v>
      </c>
      <c r="G63" s="14">
        <f t="shared" si="10"/>
        <v>0</v>
      </c>
      <c r="H63" s="14">
        <f t="shared" si="10"/>
        <v>0</v>
      </c>
      <c r="I63" s="14">
        <f t="shared" si="10"/>
        <v>0</v>
      </c>
      <c r="J63" s="14">
        <f t="shared" si="10"/>
        <v>0</v>
      </c>
      <c r="K63" s="14">
        <f t="shared" si="10"/>
        <v>0</v>
      </c>
      <c r="L63" s="14">
        <f t="shared" si="10"/>
        <v>0</v>
      </c>
      <c r="M63" s="14">
        <f t="shared" si="10"/>
        <v>0</v>
      </c>
      <c r="N63" s="14">
        <f t="shared" si="10"/>
        <v>0</v>
      </c>
      <c r="O63" s="14">
        <f t="shared" si="10"/>
        <v>0</v>
      </c>
      <c r="P63" s="14">
        <f t="shared" si="10"/>
        <v>0</v>
      </c>
      <c r="Q63" s="14">
        <f t="shared" si="10"/>
        <v>0</v>
      </c>
      <c r="R63" s="14">
        <f t="shared" si="10"/>
        <v>0</v>
      </c>
      <c r="S63" s="14">
        <f t="shared" si="10"/>
        <v>0</v>
      </c>
      <c r="T63" s="14">
        <f t="shared" si="10"/>
        <v>0</v>
      </c>
      <c r="U63" s="14">
        <f t="shared" si="10"/>
        <v>0</v>
      </c>
      <c r="V63" s="14"/>
      <c r="W63" s="14"/>
    </row>
    <row r="64" spans="2:24" x14ac:dyDescent="0.35"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</row>
    <row r="65" spans="2:23" x14ac:dyDescent="0.35"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</row>
    <row r="66" spans="2:23" x14ac:dyDescent="0.35"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</row>
    <row r="67" spans="2:23" x14ac:dyDescent="0.35">
      <c r="C67" t="s">
        <v>133</v>
      </c>
    </row>
    <row r="68" spans="2:23" x14ac:dyDescent="0.35">
      <c r="D68">
        <v>2026</v>
      </c>
      <c r="E68">
        <v>2031</v>
      </c>
      <c r="F68">
        <v>2035</v>
      </c>
      <c r="G68">
        <v>2040</v>
      </c>
    </row>
    <row r="69" spans="2:23" x14ac:dyDescent="0.35">
      <c r="C69" s="17" t="s">
        <v>95</v>
      </c>
      <c r="D69" s="7">
        <f>SUM(D58:G58)</f>
        <v>20.491950348405833</v>
      </c>
      <c r="E69" s="7">
        <f>SUM(D58:L58)</f>
        <v>50.127121840925064</v>
      </c>
      <c r="F69" s="7">
        <f>SUM(D58:P58)</f>
        <v>107.39138000508258</v>
      </c>
      <c r="G69" s="7">
        <f>SUM(D58:U58)</f>
        <v>263.64752969383278</v>
      </c>
    </row>
    <row r="70" spans="2:23" x14ac:dyDescent="0.35">
      <c r="C70" s="17" t="s">
        <v>96</v>
      </c>
      <c r="D70" s="7">
        <f t="shared" ref="D70:D74" si="12">SUM(D59:G59)</f>
        <v>50.44057996881773</v>
      </c>
      <c r="E70" s="7">
        <f t="shared" ref="E70:E74" si="13">SUM(D59:L59)</f>
        <v>89.508426980552841</v>
      </c>
      <c r="F70" s="7">
        <f t="shared" ref="F70:F74" si="14">SUM(D59:P59)</f>
        <v>112.07107247841215</v>
      </c>
      <c r="G70" s="7">
        <f t="shared" ref="G70:G74" si="15">SUM(D59:U59)</f>
        <v>126.76798673072967</v>
      </c>
    </row>
    <row r="71" spans="2:23" x14ac:dyDescent="0.35">
      <c r="C71" s="17" t="s">
        <v>97</v>
      </c>
      <c r="D71" s="7">
        <f t="shared" si="12"/>
        <v>0</v>
      </c>
      <c r="E71" s="7">
        <f t="shared" si="13"/>
        <v>0</v>
      </c>
      <c r="F71" s="7">
        <f t="shared" si="14"/>
        <v>0</v>
      </c>
      <c r="G71" s="7">
        <f t="shared" si="15"/>
        <v>0</v>
      </c>
    </row>
    <row r="72" spans="2:23" x14ac:dyDescent="0.35">
      <c r="C72" s="17" t="s">
        <v>98</v>
      </c>
      <c r="D72" s="7">
        <f t="shared" si="12"/>
        <v>5.0916543015589539</v>
      </c>
      <c r="E72" s="7">
        <f t="shared" si="13"/>
        <v>26.497173466149547</v>
      </c>
      <c r="F72" s="7">
        <f t="shared" si="14"/>
        <v>26.497173466149547</v>
      </c>
      <c r="G72" s="7">
        <f t="shared" si="15"/>
        <v>26.497173466149547</v>
      </c>
    </row>
    <row r="73" spans="2:23" x14ac:dyDescent="0.35">
      <c r="C73" s="17" t="s">
        <v>62</v>
      </c>
      <c r="D73" s="7">
        <f t="shared" si="12"/>
        <v>37.14603064749852</v>
      </c>
      <c r="E73" s="7">
        <f t="shared" si="13"/>
        <v>77.761631113644796</v>
      </c>
      <c r="F73" s="7">
        <f t="shared" si="14"/>
        <v>77.761631113644796</v>
      </c>
      <c r="G73" s="7">
        <f t="shared" si="15"/>
        <v>77.761631113644796</v>
      </c>
    </row>
    <row r="74" spans="2:23" x14ac:dyDescent="0.35">
      <c r="C74" s="17" t="s">
        <v>130</v>
      </c>
      <c r="D74" s="7">
        <f t="shared" si="12"/>
        <v>0</v>
      </c>
      <c r="E74" s="7">
        <f t="shared" si="13"/>
        <v>0</v>
      </c>
      <c r="F74" s="7">
        <f t="shared" si="14"/>
        <v>0</v>
      </c>
      <c r="G74" s="7">
        <f t="shared" si="15"/>
        <v>0</v>
      </c>
    </row>
    <row r="75" spans="2:23" x14ac:dyDescent="0.35">
      <c r="C75" s="17" t="s">
        <v>87</v>
      </c>
      <c r="D75" s="7">
        <f>SUM(D69:D74)</f>
        <v>113.17021526628105</v>
      </c>
      <c r="E75" s="7">
        <f t="shared" ref="E75:G75" si="16">SUM(E69:E74)</f>
        <v>243.89435340127224</v>
      </c>
      <c r="F75" s="7">
        <f t="shared" si="16"/>
        <v>323.72125706328904</v>
      </c>
      <c r="G75" s="7">
        <f t="shared" si="16"/>
        <v>494.67432100435678</v>
      </c>
    </row>
  </sheetData>
  <pageMargins left="0.7" right="0.7" top="0.75" bottom="0.75" header="0.3" footer="0.3"/>
  <pageSetup orientation="portrait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A68E3-1351-406E-8306-D689B37E7791}">
  <sheetPr>
    <tabColor theme="4" tint="0.79998168889431442"/>
  </sheetPr>
  <dimension ref="A1:AI75"/>
  <sheetViews>
    <sheetView topLeftCell="A2" zoomScale="70" zoomScaleNormal="70" workbookViewId="0">
      <selection activeCell="C4" sqref="C4:D8"/>
    </sheetView>
  </sheetViews>
  <sheetFormatPr defaultRowHeight="14.5" x14ac:dyDescent="0.35"/>
  <cols>
    <col min="1" max="1" width="33.08984375" bestFit="1" customWidth="1"/>
    <col min="3" max="3" width="8.81640625" bestFit="1" customWidth="1"/>
    <col min="4" max="8" width="9.36328125" bestFit="1" customWidth="1"/>
  </cols>
  <sheetData>
    <row r="1" spans="1:35" x14ac:dyDescent="0.35">
      <c r="B1" s="10" t="s">
        <v>120</v>
      </c>
    </row>
    <row r="2" spans="1:35" x14ac:dyDescent="0.35">
      <c r="C2" t="s">
        <v>99</v>
      </c>
      <c r="E2" t="s">
        <v>105</v>
      </c>
    </row>
    <row r="3" spans="1:35" x14ac:dyDescent="0.35">
      <c r="C3">
        <v>2026</v>
      </c>
      <c r="D3">
        <v>2031</v>
      </c>
      <c r="E3">
        <v>2025</v>
      </c>
      <c r="F3">
        <v>2030</v>
      </c>
      <c r="G3">
        <v>2035</v>
      </c>
      <c r="H3">
        <v>2040</v>
      </c>
      <c r="AE3" t="s">
        <v>129</v>
      </c>
    </row>
    <row r="4" spans="1:35" x14ac:dyDescent="0.35">
      <c r="A4" t="s">
        <v>101</v>
      </c>
      <c r="B4" t="s">
        <v>95</v>
      </c>
      <c r="C4" s="7">
        <f>'Tax Credit Figure'!C4</f>
        <v>21.311999999999998</v>
      </c>
      <c r="D4" s="7">
        <f>'Tax Credit Figure'!D4</f>
        <v>92.240999999999985</v>
      </c>
      <c r="E4" s="7">
        <f>3*AF8*'Power - Tax Credits'!$B$13*'Economy - IRA'!$B$27</f>
        <v>16.190437649163126</v>
      </c>
      <c r="F4" s="7">
        <f>E4+5*AG8*'Power - Tax Credits'!$B$13*'Economy - IRA'!$B$27</f>
        <v>172.18589529073486</v>
      </c>
      <c r="G4" s="7">
        <f>F4+5*AH8*'Power - Tax Credits'!$B$13*'Economy - IRA'!$B$27</f>
        <v>423.70887434160238</v>
      </c>
      <c r="H4" s="7">
        <f>G4+5*AI8*'Power - Tax Credits'!$B$13*'Economy - IRA'!$B$27</f>
        <v>624.15253266639968</v>
      </c>
      <c r="J4" s="7"/>
      <c r="AF4">
        <v>2025</v>
      </c>
      <c r="AG4">
        <v>2030</v>
      </c>
      <c r="AH4">
        <v>2035</v>
      </c>
      <c r="AI4">
        <v>2040</v>
      </c>
    </row>
    <row r="5" spans="1:35" x14ac:dyDescent="0.35">
      <c r="A5" t="s">
        <v>102</v>
      </c>
      <c r="B5" t="s">
        <v>96</v>
      </c>
      <c r="C5" s="7">
        <f>'Tax Credit Figure'!C5</f>
        <v>11.62</v>
      </c>
      <c r="D5" s="7">
        <f>'Tax Credit Figure'!D5</f>
        <v>64.819999999999993</v>
      </c>
      <c r="E5" s="7">
        <f>3*SUM(AF5:AF7)*'Power - Tax Credits'!$B$13*'Economy - IRA'!$B$27</f>
        <v>40.77154006541079</v>
      </c>
      <c r="F5" s="7">
        <f>E5+5*SUM(AG5:AG7)*'Power - Tax Credits'!$B$13*'Economy - IRA'!$B$27</f>
        <v>118.11272234730116</v>
      </c>
      <c r="G5" s="7">
        <f>F5+5*SUM(AH5:AH7)*'Power - Tax Credits'!$B$13*'Economy - IRA'!$B$27</f>
        <v>173.6565595378608</v>
      </c>
      <c r="H5" s="7">
        <f>G5+5*SUM(AI5:AI7)*'Power - Tax Credits'!$B$13*'Economy - IRA'!$B$27</f>
        <v>226.04897334172199</v>
      </c>
      <c r="J5" s="7"/>
      <c r="AE5" t="s">
        <v>22</v>
      </c>
      <c r="AF5">
        <v>1.43</v>
      </c>
      <c r="AG5">
        <v>3.1</v>
      </c>
      <c r="AH5">
        <v>1.59</v>
      </c>
      <c r="AI5">
        <v>1.26</v>
      </c>
    </row>
    <row r="6" spans="1:35" x14ac:dyDescent="0.35">
      <c r="A6" t="s">
        <v>100</v>
      </c>
      <c r="B6" t="s">
        <v>97</v>
      </c>
      <c r="C6" s="7">
        <f>'Tax Credit Figure'!C6</f>
        <v>1.3090000000000002</v>
      </c>
      <c r="D6" s="7">
        <f>'Tax Credit Figure'!D6</f>
        <v>3.2290000000000001</v>
      </c>
      <c r="E6" s="7">
        <f>3*AF9*'Power - Tax Credits'!$B$13*'Economy - IRA'!$B$27</f>
        <v>0</v>
      </c>
      <c r="F6" s="7">
        <f>E6+5*AG9*'Power - Tax Credits'!$B$13*'Economy - IRA'!$B$27</f>
        <v>101.83036818269264</v>
      </c>
      <c r="G6" s="7">
        <f>F6+5*AH9*'Power - Tax Credits'!$B$13*'Economy - IRA'!$B$27</f>
        <v>205.69603063596134</v>
      </c>
      <c r="H6" s="7">
        <f>G6+5*AI9*'Power - Tax Credits'!$B$13*'Economy - IRA'!$B$27</f>
        <v>245.81102416247663</v>
      </c>
      <c r="J6" s="7"/>
      <c r="AE6" t="s">
        <v>23</v>
      </c>
      <c r="AF6">
        <v>7.55</v>
      </c>
      <c r="AG6">
        <v>4.71</v>
      </c>
      <c r="AH6">
        <v>2.44</v>
      </c>
      <c r="AI6">
        <v>0</v>
      </c>
    </row>
    <row r="7" spans="1:35" x14ac:dyDescent="0.35">
      <c r="A7" t="s">
        <v>103</v>
      </c>
      <c r="B7" t="s">
        <v>98</v>
      </c>
      <c r="C7" s="7">
        <f>'Tax Credit Figure'!C7</f>
        <v>12.816000000000001</v>
      </c>
      <c r="D7" s="7">
        <f>'Tax Credit Figure'!D7</f>
        <v>35.994999999999997</v>
      </c>
      <c r="E7" s="7">
        <f>3*AF24*'Economy - IRA'!$B$27</f>
        <v>5.4275786970039972</v>
      </c>
      <c r="F7" s="7">
        <f>E7+5*AG24*'Economy - IRA'!$B$27</f>
        <v>328.67004331857538</v>
      </c>
      <c r="G7" s="7">
        <f>F7+5*AH24*'Economy - IRA'!$B$27</f>
        <v>328.67004331857538</v>
      </c>
      <c r="H7" s="7">
        <f>G7+5*AI24*'Economy - IRA'!$B$27</f>
        <v>328.67004331857538</v>
      </c>
      <c r="J7" s="7"/>
      <c r="AE7" t="s">
        <v>24</v>
      </c>
      <c r="AF7">
        <v>1.37</v>
      </c>
      <c r="AG7">
        <v>3.97</v>
      </c>
      <c r="AH7">
        <v>4.43</v>
      </c>
      <c r="AI7">
        <v>6.72</v>
      </c>
    </row>
    <row r="8" spans="1:35" x14ac:dyDescent="0.35">
      <c r="A8" t="s">
        <v>104</v>
      </c>
      <c r="B8" t="s">
        <v>62</v>
      </c>
      <c r="C8" s="7">
        <f>'Tax Credit Figure'!C8</f>
        <v>28.728999999999999</v>
      </c>
      <c r="D8" s="7">
        <f>'Tax Credit Figure'!D8</f>
        <v>74.388999999999996</v>
      </c>
      <c r="E8" s="7">
        <f>3*AF25*'Economy - IRA'!$B$27</f>
        <v>25.690539165818919</v>
      </c>
      <c r="F8" s="7">
        <f>E8+5*AG25*'Economy - IRA'!$B$27</f>
        <v>69.714233041518014</v>
      </c>
      <c r="G8" s="7">
        <f>F8+5*AH25*'Economy - IRA'!$B$27</f>
        <v>69.714233041518014</v>
      </c>
      <c r="H8" s="7">
        <f>G8+5*AI25*'Economy - IRA'!$B$27</f>
        <v>69.714233041518014</v>
      </c>
      <c r="J8" s="7"/>
      <c r="AE8" t="s">
        <v>25</v>
      </c>
      <c r="AF8">
        <v>4.1100000000000003</v>
      </c>
      <c r="AG8">
        <v>23.76</v>
      </c>
      <c r="AH8">
        <v>38.31</v>
      </c>
      <c r="AI8">
        <v>30.53</v>
      </c>
    </row>
    <row r="9" spans="1:35" x14ac:dyDescent="0.35">
      <c r="B9" t="s">
        <v>130</v>
      </c>
      <c r="E9" s="7">
        <f>3*AF10*'Economy - IRA'!$B$27</f>
        <v>25.72672302379895</v>
      </c>
      <c r="F9" s="7">
        <f>E9+5*AG10*'Power - Tax Credits'!$B$13*'Economy - IRA'!$B$27</f>
        <v>76.937353057648252</v>
      </c>
      <c r="G9" s="7">
        <f>F9+5*AH10*'Power - Tax Credits'!$B$13*'Economy - IRA'!$B$27</f>
        <v>96.305475955065617</v>
      </c>
      <c r="H9" s="7">
        <f>G9+5*AI10*'Power - Tax Credits'!$B$13*'Economy - IRA'!$B$27</f>
        <v>96.502439916734275</v>
      </c>
      <c r="AE9" t="s">
        <v>26</v>
      </c>
      <c r="AF9">
        <v>0</v>
      </c>
      <c r="AG9">
        <v>15.51</v>
      </c>
      <c r="AH9">
        <v>15.82</v>
      </c>
      <c r="AI9">
        <v>6.11</v>
      </c>
    </row>
    <row r="10" spans="1:35" x14ac:dyDescent="0.35">
      <c r="B10" t="s">
        <v>87</v>
      </c>
      <c r="C10" s="7">
        <f>SUM(C4:C9)</f>
        <v>75.786000000000001</v>
      </c>
      <c r="D10" s="7">
        <f t="shared" ref="D10:H10" si="0">SUM(D4:D9)</f>
        <v>270.67399999999998</v>
      </c>
      <c r="E10" s="7">
        <f t="shared" si="0"/>
        <v>113.80681860119579</v>
      </c>
      <c r="F10" s="7">
        <f t="shared" si="0"/>
        <v>867.45061523847028</v>
      </c>
      <c r="G10" s="7">
        <f t="shared" si="0"/>
        <v>1297.7512168305834</v>
      </c>
      <c r="H10" s="7">
        <f t="shared" si="0"/>
        <v>1590.8992464474261</v>
      </c>
      <c r="J10" s="7"/>
      <c r="AE10" t="s">
        <v>51</v>
      </c>
      <c r="AF10">
        <v>7.11</v>
      </c>
      <c r="AG10">
        <v>7.8</v>
      </c>
      <c r="AH10">
        <v>2.95</v>
      </c>
      <c r="AI10">
        <v>0.03</v>
      </c>
    </row>
    <row r="11" spans="1:35" x14ac:dyDescent="0.35">
      <c r="C11" s="12"/>
      <c r="D11" s="12"/>
      <c r="E11" s="12"/>
      <c r="F11" s="12"/>
      <c r="G11" s="12"/>
      <c r="H11" s="12"/>
    </row>
    <row r="12" spans="1:35" x14ac:dyDescent="0.35">
      <c r="E12" s="12"/>
      <c r="F12" s="12"/>
      <c r="G12" s="12"/>
      <c r="H12" s="12"/>
      <c r="AE12" t="s">
        <v>131</v>
      </c>
    </row>
    <row r="13" spans="1:35" x14ac:dyDescent="0.35">
      <c r="AF13">
        <v>2025</v>
      </c>
      <c r="AG13">
        <v>2030</v>
      </c>
      <c r="AH13">
        <v>2035</v>
      </c>
      <c r="AI13">
        <v>2040</v>
      </c>
    </row>
    <row r="14" spans="1:35" x14ac:dyDescent="0.35">
      <c r="AE14" t="s">
        <v>0</v>
      </c>
      <c r="AF14">
        <v>104.2</v>
      </c>
      <c r="AG14">
        <v>112.5</v>
      </c>
      <c r="AH14">
        <v>115.5</v>
      </c>
      <c r="AI14">
        <v>117.1</v>
      </c>
    </row>
    <row r="15" spans="1:35" x14ac:dyDescent="0.35">
      <c r="AE15" t="s">
        <v>1</v>
      </c>
      <c r="AF15">
        <v>400.9</v>
      </c>
      <c r="AG15">
        <v>399.2</v>
      </c>
      <c r="AH15">
        <v>403.4</v>
      </c>
      <c r="AI15">
        <v>416.8</v>
      </c>
    </row>
    <row r="16" spans="1:35" x14ac:dyDescent="0.35">
      <c r="AE16" t="s">
        <v>2</v>
      </c>
      <c r="AF16">
        <v>671</v>
      </c>
      <c r="AG16">
        <v>643.4</v>
      </c>
      <c r="AH16">
        <v>604.70000000000005</v>
      </c>
      <c r="AI16">
        <v>554.9</v>
      </c>
    </row>
    <row r="17" spans="4:35" x14ac:dyDescent="0.35">
      <c r="AE17" t="s">
        <v>3</v>
      </c>
      <c r="AF17">
        <v>-0.2</v>
      </c>
      <c r="AG17">
        <v>0.5</v>
      </c>
      <c r="AH17">
        <v>0.6</v>
      </c>
      <c r="AI17">
        <v>0.9</v>
      </c>
    </row>
    <row r="18" spans="4:35" x14ac:dyDescent="0.35">
      <c r="AE18" t="s">
        <v>4</v>
      </c>
      <c r="AF18">
        <v>671</v>
      </c>
      <c r="AG18">
        <v>643.4</v>
      </c>
      <c r="AH18">
        <v>604.70000000000005</v>
      </c>
      <c r="AI18">
        <v>554.9</v>
      </c>
    </row>
    <row r="19" spans="4:35" x14ac:dyDescent="0.35">
      <c r="AE19" t="s">
        <v>5</v>
      </c>
      <c r="AF19">
        <v>110.1</v>
      </c>
      <c r="AG19">
        <v>104.9</v>
      </c>
      <c r="AH19">
        <v>119.3</v>
      </c>
      <c r="AI19">
        <v>121.5</v>
      </c>
    </row>
    <row r="20" spans="4:35" x14ac:dyDescent="0.35">
      <c r="AE20" t="s">
        <v>6</v>
      </c>
      <c r="AF20">
        <v>108.2</v>
      </c>
      <c r="AG20">
        <v>107.8</v>
      </c>
      <c r="AH20">
        <v>106.3</v>
      </c>
      <c r="AI20">
        <v>104.6</v>
      </c>
    </row>
    <row r="21" spans="4:35" x14ac:dyDescent="0.35">
      <c r="AE21" t="s">
        <v>7</v>
      </c>
      <c r="AF21">
        <v>249.8</v>
      </c>
      <c r="AG21">
        <v>235</v>
      </c>
      <c r="AH21">
        <v>237.3</v>
      </c>
      <c r="AI21">
        <v>243.2</v>
      </c>
    </row>
    <row r="22" spans="4:35" x14ac:dyDescent="0.35">
      <c r="AE22" t="s">
        <v>8</v>
      </c>
      <c r="AF22">
        <v>1301.8</v>
      </c>
      <c r="AG22">
        <v>1321.2</v>
      </c>
      <c r="AH22">
        <v>1349.3</v>
      </c>
      <c r="AI22">
        <v>1387.9</v>
      </c>
    </row>
    <row r="23" spans="4:35" x14ac:dyDescent="0.35">
      <c r="AE23" t="s">
        <v>9</v>
      </c>
      <c r="AF23">
        <v>335</v>
      </c>
      <c r="AG23">
        <v>328.3</v>
      </c>
      <c r="AH23">
        <v>341.5</v>
      </c>
      <c r="AI23">
        <v>368.3</v>
      </c>
    </row>
    <row r="24" spans="4:35" x14ac:dyDescent="0.35">
      <c r="AE24" t="s">
        <v>28</v>
      </c>
      <c r="AF24">
        <v>1.5</v>
      </c>
      <c r="AG24">
        <v>53.6</v>
      </c>
    </row>
    <row r="25" spans="4:35" x14ac:dyDescent="0.35">
      <c r="AE25" t="s">
        <v>29</v>
      </c>
      <c r="AF25">
        <v>7.1</v>
      </c>
      <c r="AG25">
        <v>7.3</v>
      </c>
    </row>
    <row r="26" spans="4:35" x14ac:dyDescent="0.35">
      <c r="AE26" t="s">
        <v>10</v>
      </c>
      <c r="AF26">
        <v>2105</v>
      </c>
      <c r="AG26">
        <v>2097.1</v>
      </c>
      <c r="AH26">
        <v>2153.8000000000002</v>
      </c>
      <c r="AI26">
        <v>2225.4</v>
      </c>
    </row>
    <row r="27" spans="4:35" x14ac:dyDescent="0.35">
      <c r="AE27" t="s">
        <v>11</v>
      </c>
      <c r="AF27">
        <v>3176.7</v>
      </c>
      <c r="AG27">
        <v>3140.2</v>
      </c>
      <c r="AH27">
        <v>3162.5</v>
      </c>
      <c r="AI27">
        <v>3197.9</v>
      </c>
    </row>
    <row r="28" spans="4:35" x14ac:dyDescent="0.35">
      <c r="AE28" t="s">
        <v>12</v>
      </c>
      <c r="AF28">
        <v>-0.2</v>
      </c>
      <c r="AG28">
        <v>0.5</v>
      </c>
      <c r="AH28">
        <v>0.6</v>
      </c>
      <c r="AI28">
        <v>0.9</v>
      </c>
    </row>
    <row r="29" spans="4:35" x14ac:dyDescent="0.35">
      <c r="D29" s="14" t="s">
        <v>125</v>
      </c>
      <c r="E29" s="14"/>
      <c r="F29" s="14"/>
      <c r="G29" s="14"/>
      <c r="H29" s="14"/>
      <c r="I29" s="14"/>
      <c r="AE29" t="s">
        <v>13</v>
      </c>
      <c r="AF29">
        <v>400.7</v>
      </c>
      <c r="AG29">
        <v>399.7</v>
      </c>
      <c r="AH29">
        <v>404</v>
      </c>
      <c r="AI29">
        <v>417.6</v>
      </c>
    </row>
    <row r="30" spans="4:35" x14ac:dyDescent="0.35">
      <c r="D30" s="14"/>
      <c r="E30" s="14">
        <v>2025</v>
      </c>
      <c r="F30" s="14">
        <v>2030</v>
      </c>
      <c r="G30" s="14">
        <v>2035</v>
      </c>
      <c r="H30" s="14">
        <v>2040</v>
      </c>
      <c r="I30" s="14"/>
      <c r="AE30" t="s">
        <v>14</v>
      </c>
      <c r="AF30">
        <v>104.2</v>
      </c>
      <c r="AG30">
        <v>112.5</v>
      </c>
      <c r="AH30">
        <v>115.5</v>
      </c>
      <c r="AI30">
        <v>117.1</v>
      </c>
    </row>
    <row r="31" spans="4:35" x14ac:dyDescent="0.35">
      <c r="D31" s="14" t="s">
        <v>95</v>
      </c>
      <c r="E31" s="15">
        <f>AF8*'Power - Tax Credits'!$B$13*'Economy - IRA'!$B$27</f>
        <v>5.3968125497210417</v>
      </c>
      <c r="F31" s="15">
        <f>AG8*'Power - Tax Credits'!$B$13*'Economy - IRA'!$B$27</f>
        <v>31.199091528314348</v>
      </c>
      <c r="G31" s="15">
        <f>AH8*'Power - Tax Credits'!$B$13*'Economy - IRA'!$B$27</f>
        <v>50.30459581017351</v>
      </c>
      <c r="H31" s="15">
        <f>AI8*'Power - Tax Credits'!$B$13*'Economy - IRA'!$B$27</f>
        <v>40.088731664959468</v>
      </c>
      <c r="I31" s="15"/>
    </row>
    <row r="32" spans="4:35" x14ac:dyDescent="0.35">
      <c r="D32" s="14" t="s">
        <v>96</v>
      </c>
      <c r="E32" s="15">
        <f>SUM(AF5:AF7)*'Power - Tax Credits'!$B$13*'Economy - IRA'!$B$27</f>
        <v>13.590513355136931</v>
      </c>
      <c r="F32" s="15">
        <f>SUM(AG5:AG7)*'Power - Tax Credits'!$B$13*'Economy - IRA'!$B$27</f>
        <v>15.468236456378072</v>
      </c>
      <c r="G32" s="15">
        <f>SUM(AH5:AH7)*'Power - Tax Credits'!$B$13*'Economy - IRA'!$B$27</f>
        <v>11.108767438111926</v>
      </c>
      <c r="H32" s="15">
        <f>SUM(AI5:AI7)*'Power - Tax Credits'!$B$13*'Economy - IRA'!$B$27</f>
        <v>10.478482760772241</v>
      </c>
      <c r="I32" s="15"/>
    </row>
    <row r="33" spans="2:23" x14ac:dyDescent="0.35">
      <c r="D33" s="14" t="s">
        <v>97</v>
      </c>
      <c r="E33" s="15">
        <f>AF9*'Power - Tax Credits'!$B$13*'Economy - IRA'!$B$27</f>
        <v>0</v>
      </c>
      <c r="F33" s="15">
        <f>AG9*'Power - Tax Credits'!$B$13*'Economy - IRA'!$B$27</f>
        <v>20.36607363653853</v>
      </c>
      <c r="G33" s="15">
        <f>AH9*'Power - Tax Credits'!$B$13*'Economy - IRA'!$B$27</f>
        <v>20.77313249065374</v>
      </c>
      <c r="H33" s="15">
        <f>AI9*'Power - Tax Credits'!$B$13*'Economy - IRA'!$B$27</f>
        <v>8.022998705303058</v>
      </c>
      <c r="I33" s="15"/>
    </row>
    <row r="34" spans="2:23" x14ac:dyDescent="0.35">
      <c r="D34" s="14" t="s">
        <v>98</v>
      </c>
      <c r="E34" s="15">
        <f>AF24*'Economy - IRA'!$B$27</f>
        <v>1.8091928990013324</v>
      </c>
      <c r="F34" s="15">
        <f>AG24*'Economy - IRA'!$B$27</f>
        <v>64.648492924314283</v>
      </c>
      <c r="G34" s="15">
        <f>AH24*'Economy - IRA'!$B$27</f>
        <v>0</v>
      </c>
      <c r="H34" s="15">
        <f>AI24*'Economy - IRA'!$B$27</f>
        <v>0</v>
      </c>
      <c r="I34" s="15"/>
    </row>
    <row r="35" spans="2:23" x14ac:dyDescent="0.35">
      <c r="D35" s="14" t="s">
        <v>62</v>
      </c>
      <c r="E35" s="15">
        <f>AF25*'Economy - IRA'!$B$27</f>
        <v>8.5635130552729741</v>
      </c>
      <c r="F35" s="15">
        <f>AG25*'Economy - IRA'!$B$27</f>
        <v>8.8047387751398176</v>
      </c>
      <c r="G35" s="15">
        <f>AH25*'Economy - IRA'!$B$27</f>
        <v>0</v>
      </c>
      <c r="H35" s="15">
        <f>AI25*'Economy - IRA'!$B$27</f>
        <v>0</v>
      </c>
      <c r="I35" s="15"/>
    </row>
    <row r="36" spans="2:23" x14ac:dyDescent="0.35">
      <c r="D36" s="14" t="s">
        <v>130</v>
      </c>
      <c r="E36" s="15">
        <f>AF10*'Power - Tax Credits'!$B$13*'Economy - IRA'!$B$27</f>
        <v>9.3360917830940657</v>
      </c>
      <c r="F36" s="15">
        <f>AG10*'Power - Tax Credits'!$B$13*'Economy - IRA'!$B$27</f>
        <v>10.24212600676986</v>
      </c>
      <c r="G36" s="15">
        <f>AH10*'Power - Tax Credits'!$B$13*'Economy - IRA'!$B$27</f>
        <v>3.8736245794834732</v>
      </c>
      <c r="H36" s="15">
        <f>AI10*'Power - Tax Credits'!$B$13*'Economy - IRA'!$B$27</f>
        <v>3.9392792333730234E-2</v>
      </c>
      <c r="I36" s="15"/>
    </row>
    <row r="37" spans="2:23" x14ac:dyDescent="0.35">
      <c r="D37" s="14"/>
      <c r="E37" s="15"/>
      <c r="F37" s="15"/>
      <c r="G37" s="15"/>
      <c r="H37" s="15"/>
      <c r="I37" s="15"/>
    </row>
    <row r="38" spans="2:23" x14ac:dyDescent="0.35">
      <c r="D38" s="14"/>
      <c r="E38" s="15"/>
      <c r="F38" s="15"/>
      <c r="G38" s="15"/>
      <c r="H38" s="15"/>
      <c r="I38" s="15"/>
    </row>
    <row r="39" spans="2:23" x14ac:dyDescent="0.35">
      <c r="D39" s="14"/>
      <c r="E39" s="15"/>
      <c r="F39" s="15"/>
      <c r="G39" s="15"/>
      <c r="H39" s="15"/>
      <c r="I39" s="15"/>
    </row>
    <row r="40" spans="2:23" x14ac:dyDescent="0.35">
      <c r="D40" s="14"/>
      <c r="E40" s="15"/>
      <c r="F40" s="15"/>
      <c r="G40" s="15"/>
      <c r="H40" s="15"/>
      <c r="I40" s="15"/>
    </row>
    <row r="42" spans="2:23" x14ac:dyDescent="0.35">
      <c r="B42" s="14"/>
      <c r="C42" s="14" t="s">
        <v>122</v>
      </c>
      <c r="D42" s="14">
        <v>0.02</v>
      </c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</row>
    <row r="43" spans="2:23" x14ac:dyDescent="0.35"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</row>
    <row r="44" spans="2:23" x14ac:dyDescent="0.35">
      <c r="B44" s="14"/>
      <c r="C44" s="14" t="s">
        <v>121</v>
      </c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</row>
    <row r="45" spans="2:23" x14ac:dyDescent="0.35">
      <c r="B45" s="14"/>
      <c r="C45" s="14">
        <v>2022</v>
      </c>
      <c r="D45" s="14">
        <v>2023</v>
      </c>
      <c r="E45" s="14">
        <v>2024</v>
      </c>
      <c r="F45" s="14">
        <v>2025</v>
      </c>
      <c r="G45" s="14">
        <v>2026</v>
      </c>
      <c r="H45" s="14">
        <v>2027</v>
      </c>
      <c r="I45" s="14">
        <v>2028</v>
      </c>
      <c r="J45" s="14">
        <v>2029</v>
      </c>
      <c r="K45" s="14">
        <v>2030</v>
      </c>
      <c r="L45" s="14">
        <v>2031</v>
      </c>
      <c r="M45" s="14">
        <v>2032</v>
      </c>
      <c r="N45" s="14">
        <v>2033</v>
      </c>
      <c r="O45" s="14">
        <v>2034</v>
      </c>
      <c r="P45" s="14">
        <v>2035</v>
      </c>
      <c r="Q45" s="14">
        <v>2036</v>
      </c>
      <c r="R45" s="14">
        <v>2037</v>
      </c>
      <c r="S45" s="14">
        <v>2038</v>
      </c>
      <c r="T45" s="14">
        <v>2039</v>
      </c>
      <c r="U45" s="14">
        <v>2040</v>
      </c>
      <c r="V45" s="14"/>
      <c r="W45" s="14"/>
    </row>
    <row r="46" spans="2:23" x14ac:dyDescent="0.35">
      <c r="B46" s="14"/>
      <c r="C46" s="14">
        <f>GDPDEF_Annual!B87</f>
        <v>126.26900000000001</v>
      </c>
      <c r="D46" s="14">
        <f t="shared" ref="D46:U46" si="1">(1+$D$42)*C46</f>
        <v>128.79438000000002</v>
      </c>
      <c r="E46" s="14">
        <f t="shared" si="1"/>
        <v>131.37026760000003</v>
      </c>
      <c r="F46" s="14">
        <f t="shared" si="1"/>
        <v>133.99767295200004</v>
      </c>
      <c r="G46" s="14">
        <f t="shared" si="1"/>
        <v>136.67762641104005</v>
      </c>
      <c r="H46" s="14">
        <f t="shared" si="1"/>
        <v>139.41117893926085</v>
      </c>
      <c r="I46" s="14">
        <f t="shared" si="1"/>
        <v>142.19940251804607</v>
      </c>
      <c r="J46" s="14">
        <f t="shared" si="1"/>
        <v>145.04339056840701</v>
      </c>
      <c r="K46" s="14">
        <f t="shared" si="1"/>
        <v>147.94425837977514</v>
      </c>
      <c r="L46" s="14">
        <f t="shared" si="1"/>
        <v>150.90314354737063</v>
      </c>
      <c r="M46" s="14">
        <f t="shared" si="1"/>
        <v>153.92120641831804</v>
      </c>
      <c r="N46" s="14">
        <f t="shared" si="1"/>
        <v>156.99963054668439</v>
      </c>
      <c r="O46" s="14">
        <f t="shared" si="1"/>
        <v>160.13962315761808</v>
      </c>
      <c r="P46" s="14">
        <f t="shared" si="1"/>
        <v>163.34241562077045</v>
      </c>
      <c r="Q46" s="14">
        <f t="shared" si="1"/>
        <v>166.60926393318587</v>
      </c>
      <c r="R46" s="14">
        <f t="shared" si="1"/>
        <v>169.9414492118496</v>
      </c>
      <c r="S46" s="14">
        <f t="shared" si="1"/>
        <v>173.34027819608659</v>
      </c>
      <c r="T46" s="14">
        <f t="shared" si="1"/>
        <v>176.80708376000831</v>
      </c>
      <c r="U46" s="14">
        <f t="shared" si="1"/>
        <v>180.34322543520847</v>
      </c>
      <c r="V46" s="14"/>
      <c r="W46" s="14"/>
    </row>
    <row r="47" spans="2:23" x14ac:dyDescent="0.35"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</row>
    <row r="48" spans="2:23" x14ac:dyDescent="0.35">
      <c r="C48" s="14" t="s">
        <v>124</v>
      </c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2:24" x14ac:dyDescent="0.35">
      <c r="B49" s="14"/>
      <c r="C49" s="14"/>
      <c r="D49" s="14">
        <v>2023</v>
      </c>
      <c r="E49" s="14">
        <v>2024</v>
      </c>
      <c r="F49" s="14">
        <v>2025</v>
      </c>
      <c r="G49" s="14">
        <v>2026</v>
      </c>
      <c r="H49" s="14">
        <v>2027</v>
      </c>
      <c r="I49" s="14">
        <v>2028</v>
      </c>
      <c r="J49" s="14">
        <v>2029</v>
      </c>
      <c r="K49" s="14">
        <v>2030</v>
      </c>
      <c r="L49" s="14">
        <v>2031</v>
      </c>
      <c r="M49" s="14">
        <v>2032</v>
      </c>
      <c r="N49" s="14">
        <v>2033</v>
      </c>
      <c r="O49" s="14">
        <v>2034</v>
      </c>
      <c r="P49" s="14">
        <v>2035</v>
      </c>
      <c r="Q49" s="14">
        <v>2036</v>
      </c>
      <c r="R49" s="14">
        <v>2037</v>
      </c>
      <c r="S49" s="14">
        <v>2038</v>
      </c>
      <c r="T49" s="14">
        <v>2039</v>
      </c>
      <c r="U49" s="14">
        <v>2040</v>
      </c>
      <c r="V49" s="14"/>
      <c r="W49" s="14"/>
      <c r="X49" s="14" t="s">
        <v>132</v>
      </c>
    </row>
    <row r="50" spans="2:24" x14ac:dyDescent="0.35">
      <c r="C50" s="14" t="s">
        <v>95</v>
      </c>
      <c r="D50" s="15">
        <f>$E31</f>
        <v>5.3968125497210417</v>
      </c>
      <c r="E50" s="15">
        <f>$E31</f>
        <v>5.3968125497210417</v>
      </c>
      <c r="F50" s="15">
        <f>$E31</f>
        <v>5.3968125497210417</v>
      </c>
      <c r="G50" s="15">
        <f>$F31</f>
        <v>31.199091528314348</v>
      </c>
      <c r="H50" s="15">
        <f t="shared" ref="H50:K50" si="2">$F31</f>
        <v>31.199091528314348</v>
      </c>
      <c r="I50" s="15">
        <f t="shared" si="2"/>
        <v>31.199091528314348</v>
      </c>
      <c r="J50" s="15">
        <f t="shared" si="2"/>
        <v>31.199091528314348</v>
      </c>
      <c r="K50" s="15">
        <f t="shared" si="2"/>
        <v>31.199091528314348</v>
      </c>
      <c r="L50" s="15">
        <f>$G31</f>
        <v>50.30459581017351</v>
      </c>
      <c r="M50" s="15">
        <f t="shared" ref="M50:P55" si="3">$G31</f>
        <v>50.30459581017351</v>
      </c>
      <c r="N50" s="15">
        <f t="shared" si="3"/>
        <v>50.30459581017351</v>
      </c>
      <c r="O50" s="15">
        <f t="shared" si="3"/>
        <v>50.30459581017351</v>
      </c>
      <c r="P50" s="15">
        <f t="shared" si="3"/>
        <v>50.30459581017351</v>
      </c>
      <c r="Q50" s="15">
        <f>$H31</f>
        <v>40.088731664959468</v>
      </c>
      <c r="R50" s="15">
        <f t="shared" ref="R50:U50" si="4">$H31</f>
        <v>40.088731664959468</v>
      </c>
      <c r="S50" s="15">
        <f t="shared" si="4"/>
        <v>40.088731664959468</v>
      </c>
      <c r="T50" s="15">
        <f t="shared" si="4"/>
        <v>40.088731664959468</v>
      </c>
      <c r="U50" s="15">
        <f t="shared" si="4"/>
        <v>40.088731664959468</v>
      </c>
      <c r="V50" s="14"/>
      <c r="W50" s="14"/>
      <c r="X50" s="15">
        <f>SUM(D50:U50)</f>
        <v>624.15253266639979</v>
      </c>
    </row>
    <row r="51" spans="2:24" x14ac:dyDescent="0.35">
      <c r="C51" s="14" t="s">
        <v>96</v>
      </c>
      <c r="D51" s="15">
        <f t="shared" ref="D51:F55" si="5">$E32</f>
        <v>13.590513355136931</v>
      </c>
      <c r="E51" s="15">
        <f t="shared" si="5"/>
        <v>13.590513355136931</v>
      </c>
      <c r="F51" s="15">
        <f t="shared" si="5"/>
        <v>13.590513355136931</v>
      </c>
      <c r="G51" s="15">
        <f t="shared" ref="G51:K55" si="6">$F32</f>
        <v>15.468236456378072</v>
      </c>
      <c r="H51" s="15">
        <f t="shared" si="6"/>
        <v>15.468236456378072</v>
      </c>
      <c r="I51" s="15">
        <f t="shared" si="6"/>
        <v>15.468236456378072</v>
      </c>
      <c r="J51" s="15">
        <f t="shared" si="6"/>
        <v>15.468236456378072</v>
      </c>
      <c r="K51" s="15">
        <f t="shared" si="6"/>
        <v>15.468236456378072</v>
      </c>
      <c r="L51" s="15">
        <f t="shared" ref="L51:O55" si="7">$G32</f>
        <v>11.108767438111926</v>
      </c>
      <c r="M51" s="15">
        <f t="shared" si="7"/>
        <v>11.108767438111926</v>
      </c>
      <c r="N51" s="15">
        <f t="shared" si="7"/>
        <v>11.108767438111926</v>
      </c>
      <c r="O51" s="15">
        <f t="shared" si="7"/>
        <v>11.108767438111926</v>
      </c>
      <c r="P51" s="15">
        <f t="shared" si="3"/>
        <v>11.108767438111926</v>
      </c>
      <c r="Q51" s="15">
        <f t="shared" ref="Q51:U55" si="8">$H32</f>
        <v>10.478482760772241</v>
      </c>
      <c r="R51" s="15">
        <f t="shared" si="8"/>
        <v>10.478482760772241</v>
      </c>
      <c r="S51" s="15">
        <f t="shared" si="8"/>
        <v>10.478482760772241</v>
      </c>
      <c r="T51" s="15">
        <f t="shared" si="8"/>
        <v>10.478482760772241</v>
      </c>
      <c r="U51" s="15">
        <f t="shared" si="8"/>
        <v>10.478482760772241</v>
      </c>
      <c r="V51" s="14"/>
      <c r="W51" s="14"/>
      <c r="X51" s="15">
        <f t="shared" ref="X51:X62" si="9">SUM(D51:U51)</f>
        <v>226.04897334172196</v>
      </c>
    </row>
    <row r="52" spans="2:24" x14ac:dyDescent="0.35">
      <c r="C52" s="14" t="s">
        <v>97</v>
      </c>
      <c r="D52" s="15">
        <f t="shared" si="5"/>
        <v>0</v>
      </c>
      <c r="E52" s="15">
        <f t="shared" si="5"/>
        <v>0</v>
      </c>
      <c r="F52" s="15">
        <f t="shared" si="5"/>
        <v>0</v>
      </c>
      <c r="G52" s="15">
        <f t="shared" si="6"/>
        <v>20.36607363653853</v>
      </c>
      <c r="H52" s="15">
        <f t="shared" si="6"/>
        <v>20.36607363653853</v>
      </c>
      <c r="I52" s="15">
        <f t="shared" si="6"/>
        <v>20.36607363653853</v>
      </c>
      <c r="J52" s="15">
        <f t="shared" si="6"/>
        <v>20.36607363653853</v>
      </c>
      <c r="K52" s="15">
        <f t="shared" si="6"/>
        <v>20.36607363653853</v>
      </c>
      <c r="L52" s="15">
        <f t="shared" si="7"/>
        <v>20.77313249065374</v>
      </c>
      <c r="M52" s="15">
        <f t="shared" si="7"/>
        <v>20.77313249065374</v>
      </c>
      <c r="N52" s="15">
        <f t="shared" si="7"/>
        <v>20.77313249065374</v>
      </c>
      <c r="O52" s="15">
        <f t="shared" si="7"/>
        <v>20.77313249065374</v>
      </c>
      <c r="P52" s="15">
        <f t="shared" si="3"/>
        <v>20.77313249065374</v>
      </c>
      <c r="Q52" s="15">
        <f t="shared" si="8"/>
        <v>8.022998705303058</v>
      </c>
      <c r="R52" s="15">
        <f t="shared" si="8"/>
        <v>8.022998705303058</v>
      </c>
      <c r="S52" s="15">
        <f t="shared" si="8"/>
        <v>8.022998705303058</v>
      </c>
      <c r="T52" s="15">
        <f t="shared" si="8"/>
        <v>8.022998705303058</v>
      </c>
      <c r="U52" s="15">
        <f t="shared" si="8"/>
        <v>8.022998705303058</v>
      </c>
      <c r="V52" s="14"/>
      <c r="W52" s="14"/>
      <c r="X52" s="15">
        <f t="shared" si="9"/>
        <v>245.81102416247666</v>
      </c>
    </row>
    <row r="53" spans="2:24" x14ac:dyDescent="0.35">
      <c r="C53" s="14" t="s">
        <v>98</v>
      </c>
      <c r="D53" s="15">
        <f t="shared" si="5"/>
        <v>1.8091928990013324</v>
      </c>
      <c r="E53" s="15">
        <f t="shared" si="5"/>
        <v>1.8091928990013324</v>
      </c>
      <c r="F53" s="15">
        <f t="shared" si="5"/>
        <v>1.8091928990013324</v>
      </c>
      <c r="G53" s="15">
        <f t="shared" si="6"/>
        <v>64.648492924314283</v>
      </c>
      <c r="H53" s="15">
        <f t="shared" si="6"/>
        <v>64.648492924314283</v>
      </c>
      <c r="I53" s="15">
        <f t="shared" si="6"/>
        <v>64.648492924314283</v>
      </c>
      <c r="J53" s="15">
        <f t="shared" si="6"/>
        <v>64.648492924314283</v>
      </c>
      <c r="K53" s="15">
        <f t="shared" si="6"/>
        <v>64.648492924314283</v>
      </c>
      <c r="L53" s="15">
        <f t="shared" si="7"/>
        <v>0</v>
      </c>
      <c r="M53" s="15">
        <f t="shared" si="7"/>
        <v>0</v>
      </c>
      <c r="N53" s="15">
        <f t="shared" si="7"/>
        <v>0</v>
      </c>
      <c r="O53" s="15">
        <f t="shared" si="7"/>
        <v>0</v>
      </c>
      <c r="P53" s="15">
        <f t="shared" si="3"/>
        <v>0</v>
      </c>
      <c r="Q53" s="15">
        <f t="shared" si="8"/>
        <v>0</v>
      </c>
      <c r="R53" s="15">
        <f t="shared" si="8"/>
        <v>0</v>
      </c>
      <c r="S53" s="15">
        <f t="shared" si="8"/>
        <v>0</v>
      </c>
      <c r="T53" s="15">
        <f t="shared" si="8"/>
        <v>0</v>
      </c>
      <c r="U53" s="15">
        <f t="shared" si="8"/>
        <v>0</v>
      </c>
      <c r="V53" s="14"/>
      <c r="W53" s="14"/>
      <c r="X53" s="15">
        <f t="shared" si="9"/>
        <v>328.67004331857538</v>
      </c>
    </row>
    <row r="54" spans="2:24" x14ac:dyDescent="0.35">
      <c r="C54" s="14" t="s">
        <v>62</v>
      </c>
      <c r="D54" s="15">
        <f t="shared" si="5"/>
        <v>8.5635130552729741</v>
      </c>
      <c r="E54" s="15">
        <f t="shared" si="5"/>
        <v>8.5635130552729741</v>
      </c>
      <c r="F54" s="15">
        <f t="shared" si="5"/>
        <v>8.5635130552729741</v>
      </c>
      <c r="G54" s="15">
        <f t="shared" si="6"/>
        <v>8.8047387751398176</v>
      </c>
      <c r="H54" s="15">
        <f t="shared" si="6"/>
        <v>8.8047387751398176</v>
      </c>
      <c r="I54" s="15">
        <f t="shared" si="6"/>
        <v>8.8047387751398176</v>
      </c>
      <c r="J54" s="15">
        <f t="shared" si="6"/>
        <v>8.8047387751398176</v>
      </c>
      <c r="K54" s="15">
        <f t="shared" si="6"/>
        <v>8.8047387751398176</v>
      </c>
      <c r="L54" s="15">
        <f t="shared" si="7"/>
        <v>0</v>
      </c>
      <c r="M54" s="15">
        <f t="shared" si="7"/>
        <v>0</v>
      </c>
      <c r="N54" s="15">
        <f t="shared" si="7"/>
        <v>0</v>
      </c>
      <c r="O54" s="15">
        <f t="shared" si="7"/>
        <v>0</v>
      </c>
      <c r="P54" s="15">
        <f t="shared" si="3"/>
        <v>0</v>
      </c>
      <c r="Q54" s="15">
        <f t="shared" si="8"/>
        <v>0</v>
      </c>
      <c r="R54" s="15">
        <f t="shared" si="8"/>
        <v>0</v>
      </c>
      <c r="S54" s="15">
        <f t="shared" si="8"/>
        <v>0</v>
      </c>
      <c r="T54" s="15">
        <f t="shared" si="8"/>
        <v>0</v>
      </c>
      <c r="U54" s="15">
        <f t="shared" si="8"/>
        <v>0</v>
      </c>
      <c r="V54" s="14"/>
      <c r="W54" s="14"/>
      <c r="X54" s="15">
        <f t="shared" si="9"/>
        <v>69.714233041518014</v>
      </c>
    </row>
    <row r="55" spans="2:24" x14ac:dyDescent="0.35">
      <c r="B55" s="14"/>
      <c r="C55" s="14" t="s">
        <v>130</v>
      </c>
      <c r="D55" s="15">
        <f t="shared" si="5"/>
        <v>9.3360917830940657</v>
      </c>
      <c r="E55" s="15">
        <f t="shared" si="5"/>
        <v>9.3360917830940657</v>
      </c>
      <c r="F55" s="15">
        <f t="shared" si="5"/>
        <v>9.3360917830940657</v>
      </c>
      <c r="G55" s="15">
        <f t="shared" si="6"/>
        <v>10.24212600676986</v>
      </c>
      <c r="H55" s="15">
        <f t="shared" si="6"/>
        <v>10.24212600676986</v>
      </c>
      <c r="I55" s="15">
        <f t="shared" si="6"/>
        <v>10.24212600676986</v>
      </c>
      <c r="J55" s="15">
        <f t="shared" si="6"/>
        <v>10.24212600676986</v>
      </c>
      <c r="K55" s="15">
        <f t="shared" si="6"/>
        <v>10.24212600676986</v>
      </c>
      <c r="L55" s="15">
        <f t="shared" si="7"/>
        <v>3.8736245794834732</v>
      </c>
      <c r="M55" s="15">
        <f t="shared" si="7"/>
        <v>3.8736245794834732</v>
      </c>
      <c r="N55" s="15">
        <f t="shared" si="7"/>
        <v>3.8736245794834732</v>
      </c>
      <c r="O55" s="15">
        <f t="shared" si="7"/>
        <v>3.8736245794834732</v>
      </c>
      <c r="P55" s="15">
        <f t="shared" si="3"/>
        <v>3.8736245794834732</v>
      </c>
      <c r="Q55" s="15">
        <f t="shared" si="8"/>
        <v>3.9392792333730234E-2</v>
      </c>
      <c r="R55" s="15">
        <f t="shared" si="8"/>
        <v>3.9392792333730234E-2</v>
      </c>
      <c r="S55" s="15">
        <f t="shared" si="8"/>
        <v>3.9392792333730234E-2</v>
      </c>
      <c r="T55" s="15">
        <f t="shared" si="8"/>
        <v>3.9392792333730234E-2</v>
      </c>
      <c r="U55" s="15">
        <f t="shared" si="8"/>
        <v>3.9392792333730234E-2</v>
      </c>
      <c r="V55" s="14"/>
      <c r="W55" s="14"/>
      <c r="X55" s="15"/>
    </row>
    <row r="56" spans="2:24" x14ac:dyDescent="0.35">
      <c r="B56" s="14"/>
      <c r="C56" s="14" t="s">
        <v>123</v>
      </c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5"/>
    </row>
    <row r="57" spans="2:24" x14ac:dyDescent="0.35">
      <c r="B57" s="14"/>
      <c r="C57" s="14"/>
      <c r="D57" s="14">
        <v>2023</v>
      </c>
      <c r="E57" s="14">
        <v>2024</v>
      </c>
      <c r="F57" s="14">
        <v>2025</v>
      </c>
      <c r="G57" s="14">
        <v>2026</v>
      </c>
      <c r="H57" s="14">
        <v>2027</v>
      </c>
      <c r="I57" s="14">
        <v>2028</v>
      </c>
      <c r="J57" s="14">
        <v>2029</v>
      </c>
      <c r="K57" s="14">
        <v>2030</v>
      </c>
      <c r="L57" s="14">
        <v>2031</v>
      </c>
      <c r="M57" s="14">
        <v>2032</v>
      </c>
      <c r="N57" s="14">
        <v>2033</v>
      </c>
      <c r="O57" s="14">
        <v>2034</v>
      </c>
      <c r="P57" s="14">
        <v>2035</v>
      </c>
      <c r="Q57" s="14">
        <v>2036</v>
      </c>
      <c r="R57" s="14">
        <v>2037</v>
      </c>
      <c r="S57" s="14">
        <v>2038</v>
      </c>
      <c r="T57" s="14">
        <v>2039</v>
      </c>
      <c r="U57" s="14">
        <v>2040</v>
      </c>
      <c r="V57" s="14"/>
      <c r="W57" s="14"/>
      <c r="X57" s="15" t="s">
        <v>132</v>
      </c>
    </row>
    <row r="58" spans="2:24" x14ac:dyDescent="0.35">
      <c r="B58" s="14"/>
      <c r="C58" s="14" t="s">
        <v>95</v>
      </c>
      <c r="D58" s="14">
        <f>D50*D$46/$C$46</f>
        <v>5.504748800715463</v>
      </c>
      <c r="E58" s="14">
        <f t="shared" ref="E58:U63" si="10">E50*E$46/$C$46</f>
        <v>5.6148437767297734</v>
      </c>
      <c r="F58" s="14">
        <f t="shared" si="10"/>
        <v>5.7271406522643691</v>
      </c>
      <c r="G58" s="14">
        <f t="shared" si="10"/>
        <v>33.770900033031012</v>
      </c>
      <c r="H58" s="14">
        <f t="shared" si="10"/>
        <v>34.446318033691632</v>
      </c>
      <c r="I58" s="14">
        <f t="shared" si="10"/>
        <v>35.135244394365465</v>
      </c>
      <c r="J58" s="14">
        <f t="shared" si="10"/>
        <v>35.837949282252779</v>
      </c>
      <c r="K58" s="14">
        <f t="shared" si="10"/>
        <v>36.55470826789783</v>
      </c>
      <c r="L58" s="14">
        <f t="shared" si="10"/>
        <v>60.118648620287416</v>
      </c>
      <c r="M58" s="14">
        <f t="shared" si="10"/>
        <v>61.321021592693164</v>
      </c>
      <c r="N58" s="14">
        <f t="shared" si="10"/>
        <v>62.547442024547024</v>
      </c>
      <c r="O58" s="14">
        <f t="shared" si="10"/>
        <v>63.798390865037966</v>
      </c>
      <c r="P58" s="14">
        <f t="shared" si="10"/>
        <v>65.074358682338726</v>
      </c>
      <c r="Q58" s="14">
        <f t="shared" si="10"/>
        <v>52.896230070040133</v>
      </c>
      <c r="R58" s="14">
        <f t="shared" si="10"/>
        <v>53.954154671440939</v>
      </c>
      <c r="S58" s="14">
        <f t="shared" si="10"/>
        <v>55.03323776486976</v>
      </c>
      <c r="T58" s="14">
        <f t="shared" si="10"/>
        <v>56.133902520167148</v>
      </c>
      <c r="U58" s="14">
        <f t="shared" si="10"/>
        <v>57.256580570570485</v>
      </c>
      <c r="V58" s="14"/>
      <c r="W58" s="14"/>
      <c r="X58" s="15">
        <f t="shared" si="9"/>
        <v>780.72582062294111</v>
      </c>
    </row>
    <row r="59" spans="2:24" x14ac:dyDescent="0.35">
      <c r="B59" s="14"/>
      <c r="C59" s="14" t="s">
        <v>96</v>
      </c>
      <c r="D59" s="14">
        <f t="shared" ref="D59:S63" si="11">D51*D$46/$C$46</f>
        <v>13.862323622239671</v>
      </c>
      <c r="E59" s="14">
        <f t="shared" si="11"/>
        <v>14.139570094684466</v>
      </c>
      <c r="F59" s="14">
        <f t="shared" si="11"/>
        <v>14.422361496578157</v>
      </c>
      <c r="G59" s="14">
        <f t="shared" si="11"/>
        <v>16.743316598868066</v>
      </c>
      <c r="H59" s="14">
        <f t="shared" si="11"/>
        <v>17.078182930845429</v>
      </c>
      <c r="I59" s="14">
        <f t="shared" si="11"/>
        <v>17.419746589462338</v>
      </c>
      <c r="J59" s="14">
        <f t="shared" si="11"/>
        <v>17.768141521251586</v>
      </c>
      <c r="K59" s="14">
        <f t="shared" si="11"/>
        <v>18.123504351676615</v>
      </c>
      <c r="L59" s="14">
        <f t="shared" si="11"/>
        <v>13.276005411841073</v>
      </c>
      <c r="M59" s="14">
        <f t="shared" si="11"/>
        <v>13.541525520077895</v>
      </c>
      <c r="N59" s="14">
        <f t="shared" si="11"/>
        <v>13.812356030479451</v>
      </c>
      <c r="O59" s="14">
        <f t="shared" si="11"/>
        <v>14.088603151089041</v>
      </c>
      <c r="P59" s="14">
        <f t="shared" si="11"/>
        <v>14.370375214110823</v>
      </c>
      <c r="Q59" s="14">
        <f t="shared" si="11"/>
        <v>13.826135471959391</v>
      </c>
      <c r="R59" s="14">
        <f t="shared" si="11"/>
        <v>14.10265818139858</v>
      </c>
      <c r="S59" s="14">
        <f t="shared" si="11"/>
        <v>14.384711345026552</v>
      </c>
      <c r="T59" s="14">
        <f t="shared" si="10"/>
        <v>14.672405571927083</v>
      </c>
      <c r="U59" s="14">
        <f t="shared" si="10"/>
        <v>14.965853683365623</v>
      </c>
      <c r="V59" s="14"/>
      <c r="W59" s="14"/>
      <c r="X59" s="15">
        <f t="shared" si="9"/>
        <v>270.59777678688181</v>
      </c>
    </row>
    <row r="60" spans="2:24" x14ac:dyDescent="0.35">
      <c r="B60" s="14"/>
      <c r="C60" s="14" t="s">
        <v>97</v>
      </c>
      <c r="D60" s="14">
        <f t="shared" si="11"/>
        <v>0</v>
      </c>
      <c r="E60" s="14">
        <f t="shared" si="10"/>
        <v>0</v>
      </c>
      <c r="F60" s="14">
        <f t="shared" si="10"/>
        <v>0</v>
      </c>
      <c r="G60" s="14">
        <f t="shared" si="10"/>
        <v>22.044893077117464</v>
      </c>
      <c r="H60" s="14">
        <f t="shared" si="10"/>
        <v>22.485790938659814</v>
      </c>
      <c r="I60" s="14">
        <f t="shared" si="10"/>
        <v>22.935506757433011</v>
      </c>
      <c r="J60" s="14">
        <f t="shared" si="10"/>
        <v>23.394216892581671</v>
      </c>
      <c r="K60" s="14">
        <f t="shared" si="10"/>
        <v>23.862101230433304</v>
      </c>
      <c r="L60" s="14">
        <f t="shared" si="10"/>
        <v>24.825816266586973</v>
      </c>
      <c r="M60" s="14">
        <f t="shared" si="10"/>
        <v>25.322332591918705</v>
      </c>
      <c r="N60" s="14">
        <f t="shared" si="10"/>
        <v>25.828779243757083</v>
      </c>
      <c r="O60" s="14">
        <f t="shared" si="10"/>
        <v>26.345354828632221</v>
      </c>
      <c r="P60" s="14">
        <f t="shared" si="10"/>
        <v>26.872261925204867</v>
      </c>
      <c r="Q60" s="14">
        <f t="shared" si="10"/>
        <v>10.586176407728308</v>
      </c>
      <c r="R60" s="14">
        <f t="shared" si="10"/>
        <v>10.797899935882874</v>
      </c>
      <c r="S60" s="14">
        <f t="shared" si="10"/>
        <v>11.013857934600532</v>
      </c>
      <c r="T60" s="14">
        <f t="shared" si="10"/>
        <v>11.234135093292542</v>
      </c>
      <c r="U60" s="14">
        <f t="shared" si="10"/>
        <v>11.458817795158392</v>
      </c>
      <c r="V60" s="14"/>
      <c r="W60" s="14"/>
      <c r="X60" s="15">
        <f t="shared" si="9"/>
        <v>299.00794091898774</v>
      </c>
    </row>
    <row r="61" spans="2:24" x14ac:dyDescent="0.35">
      <c r="B61" s="14"/>
      <c r="C61" s="14" t="s">
        <v>98</v>
      </c>
      <c r="D61" s="14">
        <f t="shared" si="11"/>
        <v>1.8453767569813593</v>
      </c>
      <c r="E61" s="14">
        <f t="shared" si="10"/>
        <v>1.8822842921209868</v>
      </c>
      <c r="F61" s="14">
        <f t="shared" si="10"/>
        <v>1.9199299779634067</v>
      </c>
      <c r="G61" s="14">
        <f t="shared" si="10"/>
        <v>69.97760783681025</v>
      </c>
      <c r="H61" s="14">
        <f t="shared" si="10"/>
        <v>71.377159993546442</v>
      </c>
      <c r="I61" s="14">
        <f t="shared" si="10"/>
        <v>72.804703193417382</v>
      </c>
      <c r="J61" s="14">
        <f t="shared" si="10"/>
        <v>74.260797257285745</v>
      </c>
      <c r="K61" s="14">
        <f t="shared" si="10"/>
        <v>75.746013202431442</v>
      </c>
      <c r="L61" s="14">
        <f t="shared" si="10"/>
        <v>0</v>
      </c>
      <c r="M61" s="14">
        <f t="shared" si="10"/>
        <v>0</v>
      </c>
      <c r="N61" s="14">
        <f t="shared" si="10"/>
        <v>0</v>
      </c>
      <c r="O61" s="14">
        <f t="shared" si="10"/>
        <v>0</v>
      </c>
      <c r="P61" s="14">
        <f t="shared" si="10"/>
        <v>0</v>
      </c>
      <c r="Q61" s="14">
        <f t="shared" si="10"/>
        <v>0</v>
      </c>
      <c r="R61" s="14">
        <f t="shared" si="10"/>
        <v>0</v>
      </c>
      <c r="S61" s="14">
        <f t="shared" si="10"/>
        <v>0</v>
      </c>
      <c r="T61" s="14">
        <f t="shared" si="10"/>
        <v>0</v>
      </c>
      <c r="U61" s="14">
        <f t="shared" si="10"/>
        <v>0</v>
      </c>
      <c r="V61" s="14"/>
      <c r="W61" s="14"/>
      <c r="X61" s="15">
        <f t="shared" si="9"/>
        <v>369.81387251055696</v>
      </c>
    </row>
    <row r="62" spans="2:24" x14ac:dyDescent="0.35">
      <c r="B62" s="14"/>
      <c r="C62" s="14" t="s">
        <v>62</v>
      </c>
      <c r="D62" s="14">
        <f t="shared" si="11"/>
        <v>8.7347833163784347</v>
      </c>
      <c r="E62" s="14">
        <f t="shared" si="10"/>
        <v>8.9094789827060055</v>
      </c>
      <c r="F62" s="14">
        <f t="shared" si="10"/>
        <v>9.0876685623601254</v>
      </c>
      <c r="G62" s="14">
        <f t="shared" si="10"/>
        <v>9.5305324106103502</v>
      </c>
      <c r="H62" s="14">
        <f t="shared" si="10"/>
        <v>9.7211430588225571</v>
      </c>
      <c r="I62" s="14">
        <f t="shared" si="10"/>
        <v>9.9155659199990094</v>
      </c>
      <c r="J62" s="14">
        <f t="shared" si="10"/>
        <v>10.11387723839899</v>
      </c>
      <c r="K62" s="14">
        <f t="shared" si="10"/>
        <v>10.316154783166969</v>
      </c>
      <c r="L62" s="14">
        <f t="shared" si="10"/>
        <v>0</v>
      </c>
      <c r="M62" s="14">
        <f t="shared" si="10"/>
        <v>0</v>
      </c>
      <c r="N62" s="14">
        <f t="shared" si="10"/>
        <v>0</v>
      </c>
      <c r="O62" s="14">
        <f t="shared" si="10"/>
        <v>0</v>
      </c>
      <c r="P62" s="14">
        <f t="shared" si="10"/>
        <v>0</v>
      </c>
      <c r="Q62" s="14">
        <f t="shared" si="10"/>
        <v>0</v>
      </c>
      <c r="R62" s="14">
        <f t="shared" si="10"/>
        <v>0</v>
      </c>
      <c r="S62" s="14">
        <f t="shared" si="10"/>
        <v>0</v>
      </c>
      <c r="T62" s="14">
        <f t="shared" si="10"/>
        <v>0</v>
      </c>
      <c r="U62" s="14">
        <f t="shared" si="10"/>
        <v>0</v>
      </c>
      <c r="V62" s="14"/>
      <c r="W62" s="14"/>
      <c r="X62" s="15">
        <f t="shared" si="9"/>
        <v>76.329204272442439</v>
      </c>
    </row>
    <row r="63" spans="2:24" x14ac:dyDescent="0.35">
      <c r="B63" s="14"/>
      <c r="C63" s="14" t="s">
        <v>130</v>
      </c>
      <c r="D63" s="14">
        <f t="shared" si="11"/>
        <v>9.5228136187559471</v>
      </c>
      <c r="E63" s="14">
        <f t="shared" si="10"/>
        <v>9.713269891131068</v>
      </c>
      <c r="F63" s="14">
        <f t="shared" si="10"/>
        <v>9.9075352889536905</v>
      </c>
      <c r="G63" s="14">
        <f t="shared" si="10"/>
        <v>11.086406576500078</v>
      </c>
      <c r="H63" s="14">
        <f t="shared" si="10"/>
        <v>11.30813470803008</v>
      </c>
      <c r="I63" s="14">
        <f t="shared" si="10"/>
        <v>11.534297402190681</v>
      </c>
      <c r="J63" s="14">
        <f t="shared" si="10"/>
        <v>11.764983350234496</v>
      </c>
      <c r="K63" s="14">
        <f t="shared" si="10"/>
        <v>12.000283017239186</v>
      </c>
      <c r="L63" s="14">
        <f t="shared" si="10"/>
        <v>4.6293399485734241</v>
      </c>
      <c r="M63" s="14">
        <f t="shared" si="10"/>
        <v>4.7219267475448925</v>
      </c>
      <c r="N63" s="14">
        <f t="shared" si="10"/>
        <v>4.8163652824957905</v>
      </c>
      <c r="O63" s="14">
        <f t="shared" si="10"/>
        <v>4.9126925881457062</v>
      </c>
      <c r="P63" s="14">
        <f t="shared" si="10"/>
        <v>5.0109464399086212</v>
      </c>
      <c r="Q63" s="14">
        <f t="shared" si="10"/>
        <v>5.1977952902102977E-2</v>
      </c>
      <c r="R63" s="14">
        <f t="shared" si="10"/>
        <v>5.3017511960145043E-2</v>
      </c>
      <c r="S63" s="14">
        <f t="shared" si="10"/>
        <v>5.4077862199347945E-2</v>
      </c>
      <c r="T63" s="14">
        <f t="shared" si="10"/>
        <v>5.5159419443334905E-2</v>
      </c>
      <c r="U63" s="14">
        <f t="shared" si="10"/>
        <v>5.6262607832201599E-2</v>
      </c>
      <c r="V63" s="14"/>
      <c r="W63" s="14"/>
    </row>
    <row r="64" spans="2:24" x14ac:dyDescent="0.35"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</row>
    <row r="65" spans="2:23" x14ac:dyDescent="0.35"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</row>
    <row r="66" spans="2:23" x14ac:dyDescent="0.35"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</row>
    <row r="67" spans="2:23" x14ac:dyDescent="0.35">
      <c r="C67" t="s">
        <v>133</v>
      </c>
    </row>
    <row r="68" spans="2:23" x14ac:dyDescent="0.35">
      <c r="D68">
        <v>2026</v>
      </c>
      <c r="E68">
        <v>2031</v>
      </c>
      <c r="F68">
        <v>2035</v>
      </c>
      <c r="G68">
        <v>2040</v>
      </c>
    </row>
    <row r="69" spans="2:23" x14ac:dyDescent="0.35">
      <c r="C69" s="17" t="s">
        <v>95</v>
      </c>
      <c r="D69" s="7">
        <f>SUM(D58:G58)</f>
        <v>50.617633262740618</v>
      </c>
      <c r="E69" s="7">
        <f>SUM(D58:L58)</f>
        <v>252.71050186123574</v>
      </c>
      <c r="F69" s="7">
        <f>SUM(D58:P58)</f>
        <v>505.45171502585265</v>
      </c>
      <c r="G69" s="7">
        <f>SUM(D58:U58)</f>
        <v>780.72582062294111</v>
      </c>
    </row>
    <row r="70" spans="2:23" x14ac:dyDescent="0.35">
      <c r="C70" s="17" t="s">
        <v>96</v>
      </c>
      <c r="D70" s="7">
        <f t="shared" ref="D70:D74" si="12">SUM(D59:G59)</f>
        <v>59.167571812370355</v>
      </c>
      <c r="E70" s="7">
        <f t="shared" ref="E70:E74" si="13">SUM(D59:L59)</f>
        <v>142.83315261744741</v>
      </c>
      <c r="F70" s="7">
        <f t="shared" ref="F70:F74" si="14">SUM(D59:P59)</f>
        <v>198.64601253320464</v>
      </c>
      <c r="G70" s="7">
        <f t="shared" ref="G70:G74" si="15">SUM(D59:U59)</f>
        <v>270.59777678688181</v>
      </c>
    </row>
    <row r="71" spans="2:23" x14ac:dyDescent="0.35">
      <c r="C71" s="17" t="s">
        <v>97</v>
      </c>
      <c r="D71" s="7">
        <f t="shared" si="12"/>
        <v>22.044893077117464</v>
      </c>
      <c r="E71" s="7">
        <f t="shared" si="13"/>
        <v>139.54832516281223</v>
      </c>
      <c r="F71" s="7">
        <f t="shared" si="14"/>
        <v>243.9170537523251</v>
      </c>
      <c r="G71" s="7">
        <f t="shared" si="15"/>
        <v>299.00794091898774</v>
      </c>
    </row>
    <row r="72" spans="2:23" x14ac:dyDescent="0.35">
      <c r="C72" s="17" t="s">
        <v>98</v>
      </c>
      <c r="D72" s="7">
        <f t="shared" si="12"/>
        <v>75.625198863876008</v>
      </c>
      <c r="E72" s="7">
        <f t="shared" si="13"/>
        <v>369.81387251055696</v>
      </c>
      <c r="F72" s="7">
        <f t="shared" si="14"/>
        <v>369.81387251055696</v>
      </c>
      <c r="G72" s="7">
        <f t="shared" si="15"/>
        <v>369.81387251055696</v>
      </c>
    </row>
    <row r="73" spans="2:23" x14ac:dyDescent="0.35">
      <c r="C73" s="17" t="s">
        <v>62</v>
      </c>
      <c r="D73" s="7">
        <f t="shared" si="12"/>
        <v>36.262463272054916</v>
      </c>
      <c r="E73" s="7">
        <f t="shared" si="13"/>
        <v>76.329204272442439</v>
      </c>
      <c r="F73" s="7">
        <f t="shared" si="14"/>
        <v>76.329204272442439</v>
      </c>
      <c r="G73" s="7">
        <f t="shared" si="15"/>
        <v>76.329204272442439</v>
      </c>
    </row>
    <row r="74" spans="2:23" x14ac:dyDescent="0.35">
      <c r="C74" s="17" t="s">
        <v>130</v>
      </c>
      <c r="D74" s="7">
        <f t="shared" si="12"/>
        <v>40.230025375340787</v>
      </c>
      <c r="E74" s="7">
        <f t="shared" si="13"/>
        <v>91.467063801608646</v>
      </c>
      <c r="F74" s="7">
        <f t="shared" si="14"/>
        <v>110.92899485970366</v>
      </c>
      <c r="G74" s="7">
        <f t="shared" si="15"/>
        <v>111.19949021404079</v>
      </c>
    </row>
    <row r="75" spans="2:23" x14ac:dyDescent="0.35">
      <c r="C75" s="17" t="s">
        <v>87</v>
      </c>
      <c r="D75" s="7">
        <f>SUM(D69:D74)</f>
        <v>283.94778566350016</v>
      </c>
      <c r="E75" s="7">
        <f t="shared" ref="E75:G75" si="16">SUM(E69:E74)</f>
        <v>1072.7021202261035</v>
      </c>
      <c r="F75" s="7">
        <f t="shared" si="16"/>
        <v>1505.0868529540855</v>
      </c>
      <c r="G75" s="7">
        <f t="shared" si="16"/>
        <v>1907.6741053258511</v>
      </c>
    </row>
  </sheetData>
  <pageMargins left="0.7" right="0.7" top="0.75" bottom="0.75" header="0.3" footer="0.3"/>
  <pageSetup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E7260B-57EB-49E3-9B6C-71B7C8C906FE}">
  <sheetPr>
    <tabColor theme="4" tint="0.79998168889431442"/>
  </sheetPr>
  <dimension ref="A1:K25"/>
  <sheetViews>
    <sheetView zoomScale="70" zoomScaleNormal="70" workbookViewId="0">
      <selection activeCell="AA13" sqref="AA13"/>
    </sheetView>
  </sheetViews>
  <sheetFormatPr defaultRowHeight="14.5" x14ac:dyDescent="0.35"/>
  <cols>
    <col min="1" max="1" width="15.81640625" customWidth="1"/>
  </cols>
  <sheetData>
    <row r="1" spans="1:11" x14ac:dyDescent="0.35">
      <c r="A1" s="10" t="s">
        <v>126</v>
      </c>
    </row>
    <row r="2" spans="1:11" x14ac:dyDescent="0.35">
      <c r="B2" t="s">
        <v>99</v>
      </c>
      <c r="C2" t="s">
        <v>140</v>
      </c>
      <c r="F2" t="s">
        <v>136</v>
      </c>
      <c r="I2" t="s">
        <v>141</v>
      </c>
    </row>
    <row r="3" spans="1:11" x14ac:dyDescent="0.35">
      <c r="B3">
        <v>2031</v>
      </c>
      <c r="C3">
        <v>2031</v>
      </c>
      <c r="D3">
        <v>2035</v>
      </c>
      <c r="E3">
        <v>2040</v>
      </c>
      <c r="F3">
        <f>C3</f>
        <v>2031</v>
      </c>
      <c r="G3">
        <f t="shared" ref="G3:K3" si="0">D3</f>
        <v>2035</v>
      </c>
      <c r="H3">
        <f t="shared" si="0"/>
        <v>2040</v>
      </c>
      <c r="I3">
        <f t="shared" si="0"/>
        <v>2031</v>
      </c>
      <c r="J3">
        <f t="shared" si="0"/>
        <v>2035</v>
      </c>
      <c r="K3">
        <f t="shared" si="0"/>
        <v>2040</v>
      </c>
    </row>
    <row r="4" spans="1:11" x14ac:dyDescent="0.35">
      <c r="A4" t="s">
        <v>95</v>
      </c>
      <c r="B4" s="7">
        <f>'Tax Credit Figure'!D4</f>
        <v>92.240999999999985</v>
      </c>
      <c r="C4" s="7">
        <f>'Tax Credit Figure (Low)'!E69</f>
        <v>50.127121840925064</v>
      </c>
      <c r="D4" s="7">
        <f>'Tax Credit Figure (Low)'!F69</f>
        <v>107.39138000508258</v>
      </c>
      <c r="E4" s="7">
        <f>'Tax Credit Figure (Low)'!G69</f>
        <v>263.64752969383278</v>
      </c>
      <c r="F4" s="7">
        <f>'Tax Credit Figure (Nominal)'!F4</f>
        <v>117.31635521424595</v>
      </c>
      <c r="G4" s="7">
        <f>'Tax Credit Figure (Nominal)'!G4</f>
        <v>231.84487154256098</v>
      </c>
      <c r="H4" s="7">
        <f>'Tax Credit Figure (Nominal)'!H4</f>
        <v>405.68321926322477</v>
      </c>
      <c r="I4" s="7">
        <f>'Tax Credit Figure (High)'!E69</f>
        <v>252.71050186123574</v>
      </c>
      <c r="J4" s="7">
        <f>'Tax Credit Figure (High)'!F69</f>
        <v>505.45171502585265</v>
      </c>
      <c r="K4" s="7">
        <f>'Tax Credit Figure (High)'!G69</f>
        <v>780.72582062294111</v>
      </c>
    </row>
    <row r="5" spans="1:11" x14ac:dyDescent="0.35">
      <c r="A5" t="s">
        <v>96</v>
      </c>
      <c r="B5" s="7">
        <f>'Tax Credit Figure'!D5</f>
        <v>64.819999999999993</v>
      </c>
      <c r="C5" s="7">
        <f>'Tax Credit Figure (Low)'!E70</f>
        <v>89.508426980552841</v>
      </c>
      <c r="D5" s="7">
        <f>'Tax Credit Figure (Low)'!F70</f>
        <v>112.07107247841215</v>
      </c>
      <c r="E5" s="7">
        <f>'Tax Credit Figure (Low)'!G70</f>
        <v>126.76798673072967</v>
      </c>
      <c r="F5" s="7">
        <f>'Tax Credit Figure (Nominal)'!F5</f>
        <v>100.34018898983531</v>
      </c>
      <c r="G5" s="7">
        <f>'Tax Credit Figure (Nominal)'!G5</f>
        <v>132.0070598640238</v>
      </c>
      <c r="H5" s="7">
        <f>'Tax Credit Figure (Nominal)'!H5</f>
        <v>162.30253954978261</v>
      </c>
      <c r="I5" s="7">
        <f>'Tax Credit Figure (High)'!E70</f>
        <v>142.83315261744741</v>
      </c>
      <c r="J5" s="7">
        <f>'Tax Credit Figure (High)'!F70</f>
        <v>198.64601253320464</v>
      </c>
      <c r="K5" s="7">
        <f>'Tax Credit Figure (High)'!G70</f>
        <v>270.59777678688181</v>
      </c>
    </row>
    <row r="6" spans="1:11" x14ac:dyDescent="0.35">
      <c r="A6" t="s">
        <v>97</v>
      </c>
      <c r="B6" s="7">
        <f>'Tax Credit Figure'!D6</f>
        <v>3.2290000000000001</v>
      </c>
      <c r="C6" s="7">
        <f>'Tax Credit Figure (Low)'!E71</f>
        <v>0</v>
      </c>
      <c r="D6" s="7">
        <f>'Tax Credit Figure (Low)'!F71</f>
        <v>0</v>
      </c>
      <c r="E6" s="7">
        <f>'Tax Credit Figure (Low)'!G71</f>
        <v>0</v>
      </c>
      <c r="F6" s="7">
        <f>'Tax Credit Figure (Nominal)'!F6</f>
        <v>100.15413479067988</v>
      </c>
      <c r="G6" s="7">
        <f>'Tax Credit Figure (Nominal)'!G6</f>
        <v>174.17544545909544</v>
      </c>
      <c r="H6" s="7">
        <f>'Tax Credit Figure (Nominal)'!H6</f>
        <v>209.79066711348455</v>
      </c>
      <c r="I6" s="7">
        <f>'Tax Credit Figure (High)'!E71</f>
        <v>139.54832516281223</v>
      </c>
      <c r="J6" s="7">
        <f>'Tax Credit Figure (High)'!F71</f>
        <v>243.9170537523251</v>
      </c>
      <c r="K6" s="7">
        <f>'Tax Credit Figure (High)'!G71</f>
        <v>299.00794091898774</v>
      </c>
    </row>
    <row r="7" spans="1:11" x14ac:dyDescent="0.35">
      <c r="A7" t="s">
        <v>130</v>
      </c>
      <c r="B7" s="7">
        <v>7.8490000000000002</v>
      </c>
      <c r="C7" s="7">
        <f>'Tax Credit Figure (Low)'!E74</f>
        <v>0</v>
      </c>
      <c r="D7" s="7">
        <f>'Tax Credit Figure (Low)'!F74</f>
        <v>0</v>
      </c>
      <c r="E7" s="7">
        <f>'Tax Credit Figure (Low)'!G74</f>
        <v>0</v>
      </c>
      <c r="F7" s="7">
        <v>0</v>
      </c>
      <c r="G7" s="7">
        <v>0</v>
      </c>
      <c r="H7" s="7">
        <v>0</v>
      </c>
      <c r="I7" s="7">
        <f>'Tax Credit Figure (High)'!E74</f>
        <v>91.467063801608646</v>
      </c>
      <c r="J7" s="7">
        <f>'Tax Credit Figure (High)'!F74</f>
        <v>110.92899485970366</v>
      </c>
      <c r="K7" s="7">
        <f>'Tax Credit Figure (High)'!G74</f>
        <v>111.19949021404079</v>
      </c>
    </row>
    <row r="8" spans="1:11" x14ac:dyDescent="0.35">
      <c r="A8" t="s">
        <v>98</v>
      </c>
      <c r="B8" s="7">
        <f>'Tax Credit Figure'!D7-'Tax Cred Summary'!B7</f>
        <v>28.145999999999997</v>
      </c>
      <c r="C8" s="7">
        <f>'Tax Credit Figure (Low)'!E72</f>
        <v>26.497173466149547</v>
      </c>
      <c r="D8" s="7">
        <f>'Tax Credit Figure (Low)'!F72</f>
        <v>26.497173466149547</v>
      </c>
      <c r="E8" s="7">
        <f>'Tax Credit Figure (Low)'!G72</f>
        <v>26.497173466149547</v>
      </c>
      <c r="F8" s="7">
        <f>'Tax Credit Figure (Nominal)'!F7</f>
        <v>386.87828374193271</v>
      </c>
      <c r="G8" s="7">
        <f>'Tax Credit Figure (Nominal)'!G7</f>
        <v>386.87828374193271</v>
      </c>
      <c r="H8" s="7">
        <f>'Tax Credit Figure (Nominal)'!H7</f>
        <v>386.87828374193271</v>
      </c>
      <c r="I8" s="7">
        <f>'Tax Credit Figure (High)'!E72</f>
        <v>369.81387251055696</v>
      </c>
      <c r="J8" s="7">
        <f>'Tax Credit Figure (High)'!F72</f>
        <v>369.81387251055696</v>
      </c>
      <c r="K8" s="7">
        <f>'Tax Credit Figure (High)'!G72</f>
        <v>369.81387251055696</v>
      </c>
    </row>
    <row r="9" spans="1:11" x14ac:dyDescent="0.35">
      <c r="A9" t="s">
        <v>134</v>
      </c>
      <c r="B9" s="7">
        <f>'Tax Credit Figure'!D8</f>
        <v>74.388999999999996</v>
      </c>
      <c r="C9" s="7">
        <f>'Tax Credit Figure (Low)'!E73</f>
        <v>77.761631113644796</v>
      </c>
      <c r="D9" s="7">
        <f>'Tax Credit Figure (Low)'!F73</f>
        <v>77.761631113644796</v>
      </c>
      <c r="E9" s="7">
        <f>'Tax Credit Figure (Low)'!G73</f>
        <v>77.761631113644796</v>
      </c>
      <c r="F9" s="7">
        <f>'Tax Credit Figure (Nominal)'!F8</f>
        <v>76.329204272442439</v>
      </c>
      <c r="G9" s="7">
        <f>'Tax Credit Figure (Nominal)'!G8</f>
        <v>76.329204272442439</v>
      </c>
      <c r="H9" s="7">
        <f>'Tax Credit Figure (Nominal)'!H8</f>
        <v>76.329204272442439</v>
      </c>
      <c r="I9" s="7">
        <f>'Tax Credit Figure (High)'!E73</f>
        <v>76.329204272442439</v>
      </c>
      <c r="J9" s="7">
        <f>'Tax Credit Figure (High)'!F73</f>
        <v>76.329204272442439</v>
      </c>
      <c r="K9" s="7">
        <f>'Tax Credit Figure (High)'!G73</f>
        <v>76.329204272442439</v>
      </c>
    </row>
    <row r="10" spans="1:11" x14ac:dyDescent="0.35">
      <c r="A10" t="s">
        <v>137</v>
      </c>
      <c r="B10" s="7">
        <f>SUM(B4:B9)</f>
        <v>270.67399999999998</v>
      </c>
      <c r="C10" s="9">
        <f t="shared" ref="C10:K10" si="1">SUM(C4:C9)</f>
        <v>243.89435340127224</v>
      </c>
      <c r="D10" s="13">
        <f t="shared" si="1"/>
        <v>323.72125706328904</v>
      </c>
      <c r="E10" s="7">
        <f t="shared" si="1"/>
        <v>494.67432100435678</v>
      </c>
      <c r="F10" s="9">
        <f t="shared" si="1"/>
        <v>781.01816700913628</v>
      </c>
      <c r="G10" s="7">
        <f t="shared" si="1"/>
        <v>1001.2348648800554</v>
      </c>
      <c r="H10" s="7">
        <f t="shared" si="1"/>
        <v>1240.9839139408671</v>
      </c>
      <c r="I10" s="9">
        <f t="shared" si="1"/>
        <v>1072.7021202261035</v>
      </c>
      <c r="J10" s="7">
        <f t="shared" si="1"/>
        <v>1505.0868529540853</v>
      </c>
      <c r="K10" s="7">
        <f t="shared" si="1"/>
        <v>1907.6741053258506</v>
      </c>
    </row>
    <row r="11" spans="1:11" x14ac:dyDescent="0.35">
      <c r="A11" t="s">
        <v>135</v>
      </c>
      <c r="B11" s="7">
        <v>121</v>
      </c>
      <c r="C11" s="7">
        <f>B11</f>
        <v>121</v>
      </c>
      <c r="D11" s="13">
        <f t="shared" ref="D11:K11" si="2">C11</f>
        <v>121</v>
      </c>
      <c r="E11" s="7">
        <f t="shared" si="2"/>
        <v>121</v>
      </c>
      <c r="F11" s="7">
        <f t="shared" si="2"/>
        <v>121</v>
      </c>
      <c r="G11" s="7">
        <f t="shared" si="2"/>
        <v>121</v>
      </c>
      <c r="H11" s="7">
        <f t="shared" si="2"/>
        <v>121</v>
      </c>
      <c r="I11" s="7">
        <f t="shared" si="2"/>
        <v>121</v>
      </c>
      <c r="J11" s="7">
        <f t="shared" si="2"/>
        <v>121</v>
      </c>
      <c r="K11" s="7">
        <f t="shared" si="2"/>
        <v>121</v>
      </c>
    </row>
    <row r="12" spans="1:11" x14ac:dyDescent="0.35">
      <c r="A12" t="s">
        <v>138</v>
      </c>
      <c r="B12" s="7">
        <f>SUM(B10:B11)</f>
        <v>391.67399999999998</v>
      </c>
      <c r="C12" s="9">
        <f t="shared" ref="C12:K12" si="3">SUM(C10:C11)</f>
        <v>364.89435340127227</v>
      </c>
      <c r="D12" s="13">
        <f t="shared" si="3"/>
        <v>444.72125706328904</v>
      </c>
      <c r="E12" s="7">
        <f t="shared" si="3"/>
        <v>615.67432100435678</v>
      </c>
      <c r="F12" s="9">
        <f t="shared" si="3"/>
        <v>902.01816700913628</v>
      </c>
      <c r="G12" s="7">
        <f t="shared" si="3"/>
        <v>1122.2348648800553</v>
      </c>
      <c r="H12" s="7">
        <f t="shared" si="3"/>
        <v>1361.9839139408671</v>
      </c>
      <c r="I12" s="9">
        <f t="shared" si="3"/>
        <v>1193.7021202261035</v>
      </c>
      <c r="J12" s="7">
        <f t="shared" si="3"/>
        <v>1626.0868529540853</v>
      </c>
      <c r="K12" s="7">
        <f t="shared" si="3"/>
        <v>2028.6741053258506</v>
      </c>
    </row>
    <row r="13" spans="1:11" x14ac:dyDescent="0.35">
      <c r="A13" t="s">
        <v>139</v>
      </c>
      <c r="B13">
        <f>B10/B10</f>
        <v>1</v>
      </c>
      <c r="C13" s="9">
        <f>C10/B10</f>
        <v>0.90106309952663444</v>
      </c>
      <c r="D13" s="1"/>
      <c r="F13" s="9">
        <f>F10/B10</f>
        <v>2.8854569223831485</v>
      </c>
      <c r="I13" s="9">
        <f>I10/B10</f>
        <v>3.9630777992201081</v>
      </c>
    </row>
    <row r="14" spans="1:11" x14ac:dyDescent="0.35">
      <c r="D14" s="1"/>
    </row>
    <row r="15" spans="1:11" x14ac:dyDescent="0.35">
      <c r="A15" s="10" t="s">
        <v>142</v>
      </c>
      <c r="D15" s="1"/>
    </row>
    <row r="16" spans="1:11" x14ac:dyDescent="0.35">
      <c r="B16" t="s">
        <v>99</v>
      </c>
      <c r="C16" t="s">
        <v>105</v>
      </c>
      <c r="D16" s="1"/>
    </row>
    <row r="17" spans="1:5" x14ac:dyDescent="0.35">
      <c r="B17">
        <v>2030</v>
      </c>
      <c r="C17" t="s">
        <v>143</v>
      </c>
      <c r="D17" t="s">
        <v>144</v>
      </c>
      <c r="E17" t="s">
        <v>145</v>
      </c>
    </row>
    <row r="18" spans="1:5" x14ac:dyDescent="0.35">
      <c r="A18" t="str">
        <f>A4</f>
        <v>PTC</v>
      </c>
      <c r="B18" s="7">
        <f>8.329+2.225+3.492</f>
        <v>14.045999999999999</v>
      </c>
      <c r="C18" s="7">
        <f>'Tax Credit Figure (Low)'!K58</f>
        <v>4.1231741648975673</v>
      </c>
      <c r="D18" s="7">
        <f>'Tax Credit Figure'!K58</f>
        <v>15.231128444957427</v>
      </c>
      <c r="E18" s="7">
        <f>'Tax Credit Figure (High)'!K58</f>
        <v>36.55470826789783</v>
      </c>
    </row>
    <row r="19" spans="1:5" x14ac:dyDescent="0.35">
      <c r="A19" t="str">
        <f t="shared" ref="A19:A24" si="4">A5</f>
        <v>ITC</v>
      </c>
      <c r="B19" s="7">
        <f>0.009+11.264</f>
        <v>11.273</v>
      </c>
      <c r="C19" s="7">
        <f>'Tax Credit Figure (Low)'!K59</f>
        <v>8.6771277201575661</v>
      </c>
      <c r="D19" s="7">
        <f>'Tax Credit Figure'!K59</f>
        <v>11.477193757513378</v>
      </c>
      <c r="E19" s="7">
        <f>'Tax Credit Figure (High)'!K59</f>
        <v>18.123504351676615</v>
      </c>
    </row>
    <row r="20" spans="1:5" x14ac:dyDescent="0.35">
      <c r="A20" t="str">
        <f t="shared" si="4"/>
        <v>45Q</v>
      </c>
      <c r="B20" s="7">
        <f>0.178</f>
        <v>0.17799999999999999</v>
      </c>
      <c r="C20" s="7">
        <f>'Tax Credit Figure (Low)'!K60</f>
        <v>0</v>
      </c>
      <c r="D20" s="7">
        <f>'Tax Credit Figure'!K60</f>
        <v>17.169635701588373</v>
      </c>
      <c r="E20" s="7">
        <f>'Tax Credit Figure (High)'!K60</f>
        <v>23.862101230433304</v>
      </c>
    </row>
    <row r="21" spans="1:5" x14ac:dyDescent="0.35">
      <c r="A21" t="str">
        <f t="shared" si="4"/>
        <v>45V</v>
      </c>
      <c r="B21" s="7">
        <f>1.581</f>
        <v>1.581</v>
      </c>
      <c r="C21" s="7">
        <f>'Tax Credit Figure (Low)'!K63</f>
        <v>0</v>
      </c>
      <c r="D21" s="7">
        <v>0</v>
      </c>
      <c r="E21" s="7">
        <f>'Tax Credit Figure (High)'!K63</f>
        <v>12.000283017239186</v>
      </c>
    </row>
    <row r="22" spans="1:5" x14ac:dyDescent="0.35">
      <c r="A22" t="str">
        <f t="shared" si="4"/>
        <v>Transport</v>
      </c>
      <c r="B22" s="7">
        <f>(0+0+0)+(1.303+0.197+0.607+0.257)+0</f>
        <v>2.3640000000000003</v>
      </c>
      <c r="C22" s="7">
        <f>'Tax Credit Figure (Low)'!K61</f>
        <v>5.5113703636097497</v>
      </c>
      <c r="D22" s="7">
        <f>'Tax Credit Figure'!K61</f>
        <v>73.343620992652831</v>
      </c>
      <c r="E22" s="7">
        <f>'Tax Credit Figure (High)'!K61</f>
        <v>75.746013202431442</v>
      </c>
    </row>
    <row r="23" spans="1:5" x14ac:dyDescent="0.35">
      <c r="A23" t="str">
        <f t="shared" si="4"/>
        <v>Other Tax Credit</v>
      </c>
      <c r="B23" s="7">
        <f>(1.314+3.092+0.03+0.229)+(0.196+2.373)+0.171</f>
        <v>7.405000000000002</v>
      </c>
      <c r="C23" s="7">
        <f>'Tax Credit Figure (Low)'!K62</f>
        <v>10.457471971977478</v>
      </c>
      <c r="D23" s="7">
        <f>'Tax Credit Figure'!K62</f>
        <v>10.316154783166969</v>
      </c>
      <c r="E23" s="7">
        <f>'Tax Credit Figure (High)'!K62</f>
        <v>10.316154783166969</v>
      </c>
    </row>
    <row r="24" spans="1:5" x14ac:dyDescent="0.35">
      <c r="A24" t="str">
        <f t="shared" si="4"/>
        <v>Total - Tax Credit</v>
      </c>
      <c r="B24" s="7">
        <f>SUM(B18:B23)</f>
        <v>36.847000000000001</v>
      </c>
      <c r="C24" s="7">
        <f t="shared" ref="C24:E24" si="5">SUM(C18:C23)</f>
        <v>28.76914422064236</v>
      </c>
      <c r="D24" s="7">
        <f t="shared" si="5"/>
        <v>127.53773367987897</v>
      </c>
      <c r="E24" s="7">
        <f t="shared" si="5"/>
        <v>176.60276485284535</v>
      </c>
    </row>
    <row r="25" spans="1:5" x14ac:dyDescent="0.35">
      <c r="A25" t="s">
        <v>146</v>
      </c>
      <c r="B25" s="7">
        <f>B24-$B$24</f>
        <v>0</v>
      </c>
      <c r="C25" s="7">
        <f t="shared" ref="C25:E25" si="6">C24-$B$24</f>
        <v>-8.0778557793576411</v>
      </c>
      <c r="D25" s="7">
        <f t="shared" si="6"/>
        <v>90.690733679878974</v>
      </c>
      <c r="E25" s="7">
        <f t="shared" si="6"/>
        <v>139.75576485284535</v>
      </c>
    </row>
  </sheetData>
  <pageMargins left="0.7" right="0.7" top="0.75" bottom="0.75" header="0.3" footer="0.3"/>
  <drawing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F30A1-AA8B-46AB-80F9-A6C59B3C29C5}">
  <sheetPr>
    <tabColor theme="4"/>
  </sheetPr>
  <dimension ref="A1:P13"/>
  <sheetViews>
    <sheetView zoomScale="76" zoomScaleNormal="85" workbookViewId="0">
      <selection activeCell="B13" sqref="B13"/>
    </sheetView>
  </sheetViews>
  <sheetFormatPr defaultRowHeight="14.5" x14ac:dyDescent="0.35"/>
  <cols>
    <col min="1" max="1" width="21.1796875" bestFit="1" customWidth="1"/>
  </cols>
  <sheetData>
    <row r="1" spans="1:16" x14ac:dyDescent="0.35">
      <c r="A1" t="s">
        <v>52</v>
      </c>
      <c r="J1" t="s">
        <v>54</v>
      </c>
    </row>
    <row r="3" spans="1:16" x14ac:dyDescent="0.35">
      <c r="A3" t="s">
        <v>57</v>
      </c>
    </row>
    <row r="5" spans="1:16" x14ac:dyDescent="0.35">
      <c r="B5">
        <v>2020</v>
      </c>
      <c r="C5">
        <v>2025</v>
      </c>
      <c r="D5">
        <v>2030</v>
      </c>
      <c r="E5">
        <v>2035</v>
      </c>
      <c r="F5">
        <v>2040</v>
      </c>
      <c r="G5">
        <v>2045</v>
      </c>
      <c r="H5">
        <v>2050</v>
      </c>
      <c r="J5">
        <v>2020</v>
      </c>
      <c r="K5">
        <v>2025</v>
      </c>
      <c r="L5">
        <v>2030</v>
      </c>
      <c r="M5">
        <v>2035</v>
      </c>
      <c r="N5">
        <v>2040</v>
      </c>
      <c r="O5">
        <v>2045</v>
      </c>
      <c r="P5">
        <v>2050</v>
      </c>
    </row>
    <row r="6" spans="1:16" x14ac:dyDescent="0.35">
      <c r="A6" t="s">
        <v>22</v>
      </c>
      <c r="B6">
        <v>1.03</v>
      </c>
      <c r="C6">
        <v>1.41</v>
      </c>
      <c r="D6">
        <v>1.77</v>
      </c>
      <c r="E6">
        <v>1.1499999999999999</v>
      </c>
      <c r="F6">
        <v>0.94</v>
      </c>
      <c r="G6">
        <v>3.3</v>
      </c>
      <c r="H6">
        <v>0.96</v>
      </c>
      <c r="J6">
        <f>SUM(B6:B11)*$B$13</f>
        <v>7.0873337562330034</v>
      </c>
      <c r="K6">
        <f>SUM(C6:C11)*$B$13</f>
        <v>14.468612230466453</v>
      </c>
      <c r="L6">
        <f>SUM(D6:D11)*$B$13</f>
        <v>31.049271693973157</v>
      </c>
      <c r="M6">
        <f>SUM(E6:E11)*$B$13</f>
        <v>36.34027661798121</v>
      </c>
      <c r="N6">
        <f>SUM(F6:F11)*$B$13</f>
        <v>28.948111302340333</v>
      </c>
      <c r="O6">
        <f t="shared" ref="O6:P6" si="0">SUM(G6:G11)*$B$13</f>
        <v>50.993965152373875</v>
      </c>
      <c r="P6">
        <f t="shared" si="0"/>
        <v>57.917996287495505</v>
      </c>
    </row>
    <row r="7" spans="1:16" x14ac:dyDescent="0.35">
      <c r="A7" t="s">
        <v>23</v>
      </c>
      <c r="B7">
        <v>2.65</v>
      </c>
      <c r="C7">
        <v>6.32</v>
      </c>
      <c r="D7">
        <v>2.88</v>
      </c>
      <c r="E7">
        <v>1.47</v>
      </c>
      <c r="F7">
        <v>0</v>
      </c>
      <c r="G7">
        <v>0</v>
      </c>
      <c r="H7">
        <v>0.18</v>
      </c>
    </row>
    <row r="8" spans="1:16" x14ac:dyDescent="0.35">
      <c r="A8" t="s">
        <v>24</v>
      </c>
      <c r="B8">
        <v>0.08</v>
      </c>
      <c r="C8">
        <v>1.45</v>
      </c>
      <c r="D8">
        <v>2.81</v>
      </c>
      <c r="E8">
        <v>2.1800000000000002</v>
      </c>
      <c r="F8">
        <v>2.42</v>
      </c>
      <c r="G8">
        <v>0.33</v>
      </c>
      <c r="H8">
        <v>0.01</v>
      </c>
    </row>
    <row r="9" spans="1:16" x14ac:dyDescent="0.35">
      <c r="A9" t="s">
        <v>25</v>
      </c>
      <c r="B9">
        <v>2.75</v>
      </c>
      <c r="C9">
        <v>4.1100000000000003</v>
      </c>
      <c r="D9">
        <v>9.9</v>
      </c>
      <c r="E9">
        <v>17.36</v>
      </c>
      <c r="F9">
        <v>19.28</v>
      </c>
      <c r="G9">
        <v>43.21</v>
      </c>
      <c r="H9">
        <v>52.05</v>
      </c>
    </row>
    <row r="10" spans="1:16" x14ac:dyDescent="0.35">
      <c r="A10" t="s">
        <v>26</v>
      </c>
      <c r="C10">
        <v>0</v>
      </c>
      <c r="D10">
        <v>11.16</v>
      </c>
      <c r="E10">
        <v>11.22</v>
      </c>
      <c r="F10">
        <v>3.95</v>
      </c>
    </row>
    <row r="11" spans="1:16" x14ac:dyDescent="0.35">
      <c r="A11" t="s">
        <v>51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</row>
    <row r="13" spans="1:16" x14ac:dyDescent="0.35">
      <c r="A13" t="s">
        <v>53</v>
      </c>
      <c r="B13" s="6">
        <f>GDPDEF_Annual!B80/GDPDEF_Annual!B75</f>
        <v>1.0886841407423968</v>
      </c>
    </row>
  </sheetData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8FB73-6AE8-48DE-955D-3989D3163E46}">
  <sheetPr>
    <tabColor theme="4"/>
  </sheetPr>
  <dimension ref="A1:X43"/>
  <sheetViews>
    <sheetView topLeftCell="D1" zoomScale="70" zoomScaleNormal="70" workbookViewId="0">
      <selection activeCell="S29" sqref="S26:S29"/>
    </sheetView>
  </sheetViews>
  <sheetFormatPr defaultRowHeight="14.5" x14ac:dyDescent="0.35"/>
  <sheetData>
    <row r="1" spans="1:24" x14ac:dyDescent="0.35">
      <c r="A1" t="s">
        <v>56</v>
      </c>
    </row>
    <row r="3" spans="1:24" x14ac:dyDescent="0.35">
      <c r="A3" t="s">
        <v>57</v>
      </c>
      <c r="J3" t="s">
        <v>63</v>
      </c>
      <c r="R3" t="s">
        <v>110</v>
      </c>
    </row>
    <row r="4" spans="1:24" x14ac:dyDescent="0.35">
      <c r="B4">
        <v>2020</v>
      </c>
      <c r="C4">
        <v>2025</v>
      </c>
      <c r="D4">
        <v>2030</v>
      </c>
      <c r="E4">
        <v>2035</v>
      </c>
      <c r="F4">
        <v>2040</v>
      </c>
      <c r="G4">
        <v>2045</v>
      </c>
      <c r="H4">
        <v>2050</v>
      </c>
      <c r="K4">
        <v>2025</v>
      </c>
      <c r="L4">
        <v>2030</v>
      </c>
      <c r="M4">
        <v>2035</v>
      </c>
      <c r="N4">
        <v>2040</v>
      </c>
      <c r="O4">
        <v>2045</v>
      </c>
      <c r="P4">
        <v>2050</v>
      </c>
      <c r="S4">
        <f t="shared" ref="S4:X4" si="0">K4</f>
        <v>2025</v>
      </c>
      <c r="T4">
        <f t="shared" si="0"/>
        <v>2030</v>
      </c>
      <c r="U4">
        <f t="shared" si="0"/>
        <v>2035</v>
      </c>
      <c r="V4">
        <f t="shared" si="0"/>
        <v>2040</v>
      </c>
      <c r="W4">
        <f t="shared" si="0"/>
        <v>2045</v>
      </c>
      <c r="X4">
        <f t="shared" si="0"/>
        <v>2050</v>
      </c>
    </row>
    <row r="5" spans="1:24" x14ac:dyDescent="0.35">
      <c r="A5" t="s">
        <v>58</v>
      </c>
      <c r="B5" s="7">
        <f>B39</f>
        <v>35.971812853967748</v>
      </c>
      <c r="C5" s="7">
        <f t="shared" ref="C5:H5" si="1">C39</f>
        <v>58.919162276186462</v>
      </c>
      <c r="D5" s="7">
        <f t="shared" si="1"/>
        <v>70.120254517859848</v>
      </c>
      <c r="E5" s="7">
        <f t="shared" si="1"/>
        <v>44.867345358503506</v>
      </c>
      <c r="F5" s="7">
        <f t="shared" si="1"/>
        <v>41.860062468555434</v>
      </c>
      <c r="G5" s="7">
        <f t="shared" si="1"/>
        <v>104.09266061201306</v>
      </c>
      <c r="H5" s="7">
        <f t="shared" si="1"/>
        <v>33.669048120109458</v>
      </c>
      <c r="J5" t="str">
        <f>A5</f>
        <v>Investment</v>
      </c>
      <c r="K5" s="7">
        <f>K39</f>
        <v>59.60965918220797</v>
      </c>
      <c r="L5" s="7">
        <f t="shared" ref="L5:P5" si="2">L39</f>
        <v>30.186691923075376</v>
      </c>
      <c r="M5" s="7">
        <f t="shared" si="2"/>
        <v>17.052895461259034</v>
      </c>
      <c r="N5" s="7">
        <f t="shared" si="2"/>
        <v>22.867635366348072</v>
      </c>
      <c r="O5" s="7">
        <f t="shared" si="2"/>
        <v>29.859218388520258</v>
      </c>
      <c r="P5" s="7">
        <f t="shared" si="2"/>
        <v>17.178341778335106</v>
      </c>
      <c r="R5" t="str">
        <f>J5</f>
        <v>Investment</v>
      </c>
      <c r="S5" s="7">
        <f>C5-K5</f>
        <v>-0.69049690602150804</v>
      </c>
      <c r="T5" s="7">
        <f t="shared" ref="T5:X5" si="3">D5-L5</f>
        <v>39.933562594784476</v>
      </c>
      <c r="U5" s="7">
        <f t="shared" si="3"/>
        <v>27.814449897244472</v>
      </c>
      <c r="V5" s="7">
        <f t="shared" si="3"/>
        <v>18.992427102207362</v>
      </c>
      <c r="W5" s="7">
        <f t="shared" si="3"/>
        <v>74.233442223492801</v>
      </c>
      <c r="X5" s="7">
        <f t="shared" si="3"/>
        <v>16.490706341774352</v>
      </c>
    </row>
    <row r="6" spans="1:24" x14ac:dyDescent="0.35">
      <c r="A6" t="s">
        <v>59</v>
      </c>
      <c r="B6" s="7">
        <f t="shared" ref="B6:H6" si="4">B40</f>
        <v>51.588969340354893</v>
      </c>
      <c r="C6" s="7">
        <f t="shared" si="4"/>
        <v>61.560440762261159</v>
      </c>
      <c r="D6" s="7">
        <f t="shared" si="4"/>
        <v>53.801144075597399</v>
      </c>
      <c r="E6" s="7">
        <f t="shared" si="4"/>
        <v>47.986448185469314</v>
      </c>
      <c r="F6" s="7">
        <f t="shared" si="4"/>
        <v>48.05138581262122</v>
      </c>
      <c r="G6" s="7">
        <f t="shared" si="4"/>
        <v>36.276472074280093</v>
      </c>
      <c r="H6" s="7">
        <f t="shared" si="4"/>
        <v>37.510932044228376</v>
      </c>
      <c r="J6" t="str">
        <f t="shared" ref="J6:J10" si="5">A6</f>
        <v>Fuel</v>
      </c>
      <c r="K6" s="7">
        <f t="shared" ref="K6:P9" si="6">K40</f>
        <v>60.329246915836009</v>
      </c>
      <c r="L6" s="7">
        <f t="shared" si="6"/>
        <v>58.614797290784431</v>
      </c>
      <c r="M6" s="7">
        <f t="shared" si="6"/>
        <v>61.791920769334304</v>
      </c>
      <c r="N6" s="7">
        <f t="shared" si="6"/>
        <v>68.104389752050935</v>
      </c>
      <c r="O6" s="7">
        <f t="shared" si="6"/>
        <v>71.1678796561459</v>
      </c>
      <c r="P6" s="7">
        <f t="shared" si="6"/>
        <v>74.579342850319733</v>
      </c>
      <c r="R6" t="str">
        <f t="shared" ref="R6:R10" si="7">J6</f>
        <v>Fuel</v>
      </c>
      <c r="S6" s="7">
        <f t="shared" ref="S6:S9" si="8">C6-K6</f>
        <v>1.2311938464251497</v>
      </c>
      <c r="T6" s="7">
        <f t="shared" ref="T6:T10" si="9">D6-L6</f>
        <v>-4.8136532151870313</v>
      </c>
      <c r="U6" s="7">
        <f t="shared" ref="U6:U10" si="10">E6-M6</f>
        <v>-13.80547258386499</v>
      </c>
      <c r="V6" s="7">
        <f t="shared" ref="V6:V10" si="11">F6-N6</f>
        <v>-20.053003939429715</v>
      </c>
      <c r="W6" s="7">
        <f t="shared" ref="W6:W10" si="12">G6-O6</f>
        <v>-34.891407581865806</v>
      </c>
      <c r="X6" s="7">
        <f t="shared" ref="X6:X10" si="13">H6-P6</f>
        <v>-37.068410806091357</v>
      </c>
    </row>
    <row r="7" spans="1:24" x14ac:dyDescent="0.35">
      <c r="A7" t="s">
        <v>60</v>
      </c>
      <c r="B7" s="7">
        <f t="shared" ref="B7:H7" si="14">B41</f>
        <v>8.1888587017983632</v>
      </c>
      <c r="C7" s="7">
        <f t="shared" si="14"/>
        <v>7.7720619618978164</v>
      </c>
      <c r="D7" s="7">
        <f t="shared" si="14"/>
        <v>8.4438626241848844</v>
      </c>
      <c r="E7" s="7">
        <f t="shared" si="14"/>
        <v>7.7584702478852163</v>
      </c>
      <c r="F7" s="7">
        <f t="shared" si="14"/>
        <v>7.9429114749023535</v>
      </c>
      <c r="G7" s="7">
        <f t="shared" si="14"/>
        <v>6.002083275584619</v>
      </c>
      <c r="H7" s="7">
        <f t="shared" si="14"/>
        <v>6.1702711213423074</v>
      </c>
      <c r="J7" t="str">
        <f t="shared" si="5"/>
        <v>VOM</v>
      </c>
      <c r="K7" s="7">
        <f t="shared" si="6"/>
        <v>7.5686490651258724</v>
      </c>
      <c r="L7" s="7">
        <f t="shared" si="6"/>
        <v>8.0961087037427983</v>
      </c>
      <c r="M7" s="7">
        <f t="shared" si="6"/>
        <v>9.0502911617096853</v>
      </c>
      <c r="N7" s="7">
        <f t="shared" si="6"/>
        <v>10.559020523804184</v>
      </c>
      <c r="O7" s="7">
        <f t="shared" si="6"/>
        <v>12.938349572500067</v>
      </c>
      <c r="P7" s="7">
        <f t="shared" si="6"/>
        <v>13.987417930550517</v>
      </c>
      <c r="R7" t="str">
        <f t="shared" si="7"/>
        <v>VOM</v>
      </c>
      <c r="S7" s="7">
        <f t="shared" si="8"/>
        <v>0.20341289677194396</v>
      </c>
      <c r="T7" s="7">
        <f t="shared" si="9"/>
        <v>0.34775392044208608</v>
      </c>
      <c r="U7" s="7">
        <f t="shared" si="10"/>
        <v>-1.291820913824469</v>
      </c>
      <c r="V7" s="7">
        <f t="shared" si="11"/>
        <v>-2.6161090489018308</v>
      </c>
      <c r="W7" s="7">
        <f t="shared" si="12"/>
        <v>-6.9362662969154485</v>
      </c>
      <c r="X7" s="7">
        <f t="shared" si="13"/>
        <v>-7.8171468092082099</v>
      </c>
    </row>
    <row r="8" spans="1:24" x14ac:dyDescent="0.35">
      <c r="A8" t="s">
        <v>61</v>
      </c>
      <c r="B8" s="7">
        <f t="shared" ref="B8:H8" si="15">B42</f>
        <v>62.776803620055951</v>
      </c>
      <c r="C8" s="7">
        <f t="shared" si="15"/>
        <v>62.565065631698623</v>
      </c>
      <c r="D8" s="7">
        <f t="shared" si="15"/>
        <v>66.522161286964462</v>
      </c>
      <c r="E8" s="7">
        <f t="shared" si="15"/>
        <v>67.446806330308604</v>
      </c>
      <c r="F8" s="7">
        <f t="shared" si="15"/>
        <v>67.525426879258788</v>
      </c>
      <c r="G8" s="7">
        <f t="shared" si="15"/>
        <v>64.001229379338156</v>
      </c>
      <c r="H8" s="7">
        <f t="shared" si="15"/>
        <v>61.759332970535517</v>
      </c>
      <c r="J8" t="str">
        <f t="shared" si="5"/>
        <v>FOM</v>
      </c>
      <c r="K8" s="7">
        <f t="shared" si="6"/>
        <v>61.653980438018365</v>
      </c>
      <c r="L8" s="7">
        <f t="shared" si="6"/>
        <v>61.574404726188313</v>
      </c>
      <c r="M8" s="7">
        <f t="shared" si="6"/>
        <v>61.53308601844968</v>
      </c>
      <c r="N8" s="7">
        <f t="shared" si="6"/>
        <v>60.427370214228532</v>
      </c>
      <c r="O8" s="7">
        <f t="shared" si="6"/>
        <v>55.784338626802409</v>
      </c>
      <c r="P8" s="7">
        <f t="shared" si="6"/>
        <v>54.269671124744185</v>
      </c>
      <c r="R8" t="str">
        <f t="shared" si="7"/>
        <v>FOM</v>
      </c>
      <c r="S8" s="7">
        <f t="shared" si="8"/>
        <v>0.91108519368025753</v>
      </c>
      <c r="T8" s="7">
        <f t="shared" si="9"/>
        <v>4.9477565607761491</v>
      </c>
      <c r="U8" s="7">
        <f t="shared" si="10"/>
        <v>5.9137203118589241</v>
      </c>
      <c r="V8" s="7">
        <f t="shared" si="11"/>
        <v>7.0980566650302563</v>
      </c>
      <c r="W8" s="7">
        <f t="shared" si="12"/>
        <v>8.2168907525357469</v>
      </c>
      <c r="X8" s="7">
        <f t="shared" si="13"/>
        <v>7.489661845791332</v>
      </c>
    </row>
    <row r="9" spans="1:24" x14ac:dyDescent="0.35">
      <c r="A9" t="s">
        <v>62</v>
      </c>
      <c r="B9" s="7">
        <f t="shared" ref="B9:H9" si="16">B43</f>
        <v>2.0704762007511981</v>
      </c>
      <c r="C9" s="7">
        <f t="shared" si="16"/>
        <v>2.7893636983587111</v>
      </c>
      <c r="D9" s="7">
        <f t="shared" si="16"/>
        <v>3.1206557451506134</v>
      </c>
      <c r="E9" s="7">
        <f t="shared" si="16"/>
        <v>2.2234230717191785</v>
      </c>
      <c r="F9" s="7">
        <f t="shared" si="16"/>
        <v>2.5814664759440329</v>
      </c>
      <c r="G9" s="7">
        <f t="shared" si="16"/>
        <v>3.2111932242975345</v>
      </c>
      <c r="H9" s="7">
        <f t="shared" si="16"/>
        <v>3.1280036231671753</v>
      </c>
      <c r="J9" t="str">
        <f t="shared" si="5"/>
        <v>Other</v>
      </c>
      <c r="K9" s="7">
        <f t="shared" si="6"/>
        <v>2.6919933004648771</v>
      </c>
      <c r="L9" s="7">
        <f t="shared" si="6"/>
        <v>2.5472224280824092</v>
      </c>
      <c r="M9" s="7">
        <f t="shared" si="6"/>
        <v>1.8694359953030082</v>
      </c>
      <c r="N9" s="7">
        <f t="shared" si="6"/>
        <v>2.1179527404953382</v>
      </c>
      <c r="O9" s="7">
        <f t="shared" si="6"/>
        <v>1.6729645370884767</v>
      </c>
      <c r="P9" s="7">
        <f t="shared" si="6"/>
        <v>1.5718315605150552</v>
      </c>
      <c r="R9" t="str">
        <f t="shared" si="7"/>
        <v>Other</v>
      </c>
      <c r="S9" s="7">
        <f t="shared" si="8"/>
        <v>9.737039789383406E-2</v>
      </c>
      <c r="T9" s="7">
        <f t="shared" si="9"/>
        <v>0.57343331706820422</v>
      </c>
      <c r="U9" s="7">
        <f t="shared" si="10"/>
        <v>0.35398707641617033</v>
      </c>
      <c r="V9" s="7">
        <f t="shared" si="11"/>
        <v>0.46351373544869467</v>
      </c>
      <c r="W9" s="7">
        <f t="shared" si="12"/>
        <v>1.5382286872090578</v>
      </c>
      <c r="X9" s="7">
        <f t="shared" si="13"/>
        <v>1.55617206265212</v>
      </c>
    </row>
    <row r="10" spans="1:24" x14ac:dyDescent="0.35">
      <c r="A10" t="s">
        <v>64</v>
      </c>
      <c r="B10" s="7">
        <f>'Economy - IRA'!K5-SUM('Power - Decomp'!B5:B9)</f>
        <v>261.41219907126253</v>
      </c>
      <c r="C10" s="7">
        <f>'Economy - IRA'!L5-SUM('Power - Decomp'!C5:C9)</f>
        <v>306.29635240712844</v>
      </c>
      <c r="D10" s="7">
        <f>'Economy - IRA'!M5-SUM('Power - Decomp'!D5:D9)</f>
        <v>314.756841704262</v>
      </c>
      <c r="E10" s="7">
        <f>'Economy - IRA'!N5-SUM('Power - Decomp'!E5:E9)</f>
        <v>357.08550921586755</v>
      </c>
      <c r="F10" s="7">
        <f>'Economy - IRA'!O5-SUM('Power - Decomp'!F5:F9)</f>
        <v>366.17051909161535</v>
      </c>
      <c r="G10" s="7">
        <f>'Economy - IRA'!P5-SUM('Power - Decomp'!G5:G9)</f>
        <v>326.39285655410305</v>
      </c>
      <c r="H10" s="7">
        <f>'Economy - IRA'!Q5-SUM('Power - Decomp'!H5:H9)</f>
        <v>399.57708477857966</v>
      </c>
      <c r="J10" t="str">
        <f t="shared" si="5"/>
        <v>T&amp;D</v>
      </c>
      <c r="K10" s="7">
        <f>'Economy - No IRA'!L5-SUM('Power - Decomp'!K5:K9)</f>
        <v>277.57172195922601</v>
      </c>
      <c r="L10" s="7">
        <f>'Economy - No IRA'!M5-SUM('Power - Decomp'!L5:L9)</f>
        <v>314.67789450554369</v>
      </c>
      <c r="M10" s="7">
        <f>'Economy - No IRA'!N5-SUM('Power - Decomp'!M5:M9)</f>
        <v>330.67135888789932</v>
      </c>
      <c r="N10" s="7">
        <f>'Economy - No IRA'!O5-SUM('Power - Decomp'!N5:N9)</f>
        <v>341.65335310391208</v>
      </c>
      <c r="O10" s="7">
        <f>'Economy - No IRA'!P5-SUM('Power - Decomp'!O5:O9)</f>
        <v>348.41867553199239</v>
      </c>
      <c r="P10" s="7">
        <f>'Economy - No IRA'!Q5-SUM('Power - Decomp'!P5:P9)</f>
        <v>358.85788536825203</v>
      </c>
      <c r="R10" t="str">
        <f t="shared" si="7"/>
        <v>T&amp;D</v>
      </c>
      <c r="S10" s="7">
        <f>C10-K10</f>
        <v>28.724630447902427</v>
      </c>
      <c r="T10" s="7">
        <f t="shared" si="9"/>
        <v>7.8947198718310574E-2</v>
      </c>
      <c r="U10" s="7">
        <f t="shared" si="10"/>
        <v>26.41415032796823</v>
      </c>
      <c r="V10" s="7">
        <f t="shared" si="11"/>
        <v>24.517165987703265</v>
      </c>
      <c r="W10" s="7">
        <f t="shared" si="12"/>
        <v>-22.025818977889344</v>
      </c>
      <c r="X10" s="7">
        <f t="shared" si="13"/>
        <v>40.719199410327633</v>
      </c>
    </row>
    <row r="11" spans="1:24" x14ac:dyDescent="0.35">
      <c r="R11" t="s">
        <v>111</v>
      </c>
      <c r="S11" s="7">
        <f>'Power - Tax Credits'!K6*'Economy - IRA'!$B$27</f>
        <v>17.451007003842491</v>
      </c>
      <c r="T11" s="7">
        <f>'Power - Tax Credits'!L6*'Economy - IRA'!$B$27</f>
        <v>37.449414578599537</v>
      </c>
      <c r="U11" s="7">
        <f>'Power - Tax Credits'!M6*'Economy - IRA'!$B$27</f>
        <v>43.831046936663846</v>
      </c>
      <c r="V11" s="7">
        <f>'Power - Tax Credits'!N6*'Economy - IRA'!$B$27</f>
        <v>34.915144938462895</v>
      </c>
      <c r="W11" s="7">
        <f>'Power - Tax Credits'!O6*'Economy - IRA'!$B$27</f>
        <v>61.505279763730812</v>
      </c>
      <c r="X11" s="7">
        <f>'Power - Tax Credits'!P6*'Economy - IRA'!$B$27</f>
        <v>69.856551738481599</v>
      </c>
    </row>
    <row r="12" spans="1:24" x14ac:dyDescent="0.35">
      <c r="R12" t="s">
        <v>114</v>
      </c>
      <c r="S12" s="7">
        <f t="shared" ref="S12:V12" si="17">SUM(S5:S10)</f>
        <v>30.477195876652104</v>
      </c>
      <c r="T12" s="7">
        <f t="shared" si="17"/>
        <v>41.067800376602193</v>
      </c>
      <c r="U12" s="7">
        <f t="shared" si="17"/>
        <v>45.399014115798337</v>
      </c>
      <c r="V12" s="7">
        <f t="shared" si="17"/>
        <v>28.402050502058032</v>
      </c>
      <c r="W12" s="7">
        <f t="shared" ref="W12:X12" si="18">SUM(W5:W10)</f>
        <v>20.135068806567006</v>
      </c>
      <c r="X12" s="7">
        <f t="shared" si="18"/>
        <v>21.370182045245869</v>
      </c>
    </row>
    <row r="14" spans="1:24" x14ac:dyDescent="0.35">
      <c r="R14" t="s">
        <v>113</v>
      </c>
      <c r="T14">
        <f>[1]Projections!D11-[1]Projections!D4</f>
        <v>-231.1375151159848</v>
      </c>
      <c r="U14">
        <f>[1]Projections!E11-[1]Projections!E4</f>
        <v>-332.07525410724668</v>
      </c>
      <c r="V14">
        <f>[1]Projections!F11-[1]Projections!F4</f>
        <v>-392.76930751775831</v>
      </c>
      <c r="W14">
        <f>[1]Projections!G11-[1]Projections!G4</f>
        <v>-499.04539554577821</v>
      </c>
      <c r="X14">
        <f>[1]Projections!H11-[1]Projections!H4</f>
        <v>-436.82022907826371</v>
      </c>
    </row>
    <row r="15" spans="1:24" x14ac:dyDescent="0.35">
      <c r="R15" t="s">
        <v>112</v>
      </c>
      <c r="T15">
        <f>T12*1000/-T14</f>
        <v>177.67691391851457</v>
      </c>
      <c r="U15">
        <f t="shared" ref="U15:X15" si="19">U12*1000/-U14</f>
        <v>136.71302981563426</v>
      </c>
      <c r="V15">
        <f t="shared" si="19"/>
        <v>72.312296196346466</v>
      </c>
      <c r="W15">
        <f t="shared" si="19"/>
        <v>40.347168787213029</v>
      </c>
      <c r="X15">
        <f t="shared" si="19"/>
        <v>48.92214376229596</v>
      </c>
    </row>
    <row r="17" spans="1:24" x14ac:dyDescent="0.35">
      <c r="S17" t="s">
        <v>118</v>
      </c>
      <c r="T17" t="s">
        <v>119</v>
      </c>
      <c r="V17" t="s">
        <v>151</v>
      </c>
    </row>
    <row r="18" spans="1:24" x14ac:dyDescent="0.35">
      <c r="R18" t="s">
        <v>115</v>
      </c>
      <c r="S18" s="7">
        <f>SUMPRODUCT(T12:X12,B25:F25)</f>
        <v>192.1178963293149</v>
      </c>
      <c r="T18" s="7">
        <f>5*SUM(T12:X12)</f>
        <v>781.87057923135717</v>
      </c>
      <c r="V18">
        <f>H25</f>
        <v>7.0000000000000007E-2</v>
      </c>
      <c r="W18">
        <f>[1]Projections!T13</f>
        <v>1.7561684216811027</v>
      </c>
    </row>
    <row r="19" spans="1:24" x14ac:dyDescent="0.35">
      <c r="R19" t="s">
        <v>152</v>
      </c>
      <c r="S19" s="7">
        <f>[1]Projections!$T$3</f>
        <v>1.7560505154501371</v>
      </c>
      <c r="T19" s="7">
        <f>[1]Projections!$S$3</f>
        <v>9.4068455413715828</v>
      </c>
      <c r="V19">
        <f t="shared" ref="V19:V22" si="20">H26</f>
        <v>0.03</v>
      </c>
      <c r="W19">
        <f>[1]Projections!T14</f>
        <v>4.5106488358266619</v>
      </c>
    </row>
    <row r="20" spans="1:24" x14ac:dyDescent="0.35">
      <c r="R20" t="s">
        <v>116</v>
      </c>
      <c r="S20" s="13">
        <f>S18/S19</f>
        <v>109.40339963971275</v>
      </c>
      <c r="T20" s="13">
        <f>T18/T19</f>
        <v>83.117191176645505</v>
      </c>
      <c r="U20" s="13"/>
      <c r="V20">
        <f t="shared" si="20"/>
        <v>2.5000000000000001E-2</v>
      </c>
      <c r="W20">
        <f>[1]Projections!T15</f>
        <v>5.0884829110779357</v>
      </c>
    </row>
    <row r="21" spans="1:24" x14ac:dyDescent="0.35">
      <c r="V21">
        <f t="shared" si="20"/>
        <v>0.02</v>
      </c>
      <c r="W21">
        <f>[1]Projections!T16</f>
        <v>5.7435259666693854</v>
      </c>
    </row>
    <row r="22" spans="1:24" x14ac:dyDescent="0.35">
      <c r="V22">
        <f t="shared" si="20"/>
        <v>1.4999999999999999E-2</v>
      </c>
      <c r="W22">
        <f>[1]Projections!T17</f>
        <v>6.4864071510336432</v>
      </c>
    </row>
    <row r="23" spans="1:24" x14ac:dyDescent="0.35">
      <c r="A23" t="s">
        <v>117</v>
      </c>
    </row>
    <row r="24" spans="1:24" x14ac:dyDescent="0.35">
      <c r="A24">
        <v>2025</v>
      </c>
      <c r="B24">
        <v>2030</v>
      </c>
      <c r="C24">
        <v>2035</v>
      </c>
      <c r="D24">
        <v>2040</v>
      </c>
      <c r="E24">
        <v>2045</v>
      </c>
      <c r="F24">
        <v>2050</v>
      </c>
      <c r="H24" t="s">
        <v>147</v>
      </c>
      <c r="S24" t="s">
        <v>148</v>
      </c>
      <c r="T24" t="s">
        <v>149</v>
      </c>
      <c r="U24" t="s">
        <v>150</v>
      </c>
    </row>
    <row r="25" spans="1:24" x14ac:dyDescent="0.35">
      <c r="A25">
        <f>(1-$H25)^(A$24+1-2020)*(1-(1-$H25)^5)/$H25</f>
        <v>2.812666253889391</v>
      </c>
      <c r="B25">
        <f t="shared" ref="B25:F29" si="21">(1-$H25)^(B$24+1-2020)*(1-(1-$H25)^5)/$H25</f>
        <v>1.9567391995534495</v>
      </c>
      <c r="C25">
        <f t="shared" si="21"/>
        <v>1.3612807028827261</v>
      </c>
      <c r="D25">
        <f t="shared" si="21"/>
        <v>0.94702715234804136</v>
      </c>
      <c r="E25">
        <f t="shared" si="21"/>
        <v>0.65883577529983128</v>
      </c>
      <c r="F25">
        <f t="shared" si="21"/>
        <v>0.45834438615484063</v>
      </c>
      <c r="H25">
        <f>0.07</f>
        <v>7.0000000000000007E-2</v>
      </c>
      <c r="R25">
        <f>H25</f>
        <v>7.0000000000000007E-2</v>
      </c>
      <c r="S25">
        <f>SUMPRODUCT($T$12:$X$12,B25:F25)</f>
        <v>192.1178963293149</v>
      </c>
      <c r="T25">
        <f>S25/$T$19</f>
        <v>20.423200900277863</v>
      </c>
      <c r="U25">
        <f>S25/W18</f>
        <v>109.3960544771719</v>
      </c>
    </row>
    <row r="26" spans="1:24" x14ac:dyDescent="0.35">
      <c r="A26">
        <f t="shared" ref="A26:A29" si="22">(1-$H26)^(A$24+1-2020)*(1-(1-$H26)^5)/$H26</f>
        <v>3.9223533946973217</v>
      </c>
      <c r="B26">
        <f t="shared" si="21"/>
        <v>3.3682583208464925</v>
      </c>
      <c r="C26">
        <f t="shared" si="21"/>
        <v>2.8924380274580304</v>
      </c>
      <c r="D26">
        <f t="shared" si="21"/>
        <v>2.4838349514068012</v>
      </c>
      <c r="E26">
        <f t="shared" si="21"/>
        <v>2.1329535869959266</v>
      </c>
      <c r="F26">
        <f t="shared" si="21"/>
        <v>1.8316398203922666</v>
      </c>
      <c r="H26">
        <v>0.03</v>
      </c>
      <c r="R26">
        <f>H26</f>
        <v>0.03</v>
      </c>
      <c r="S26" s="8">
        <f>SUMPRODUCT($T$12:$X$12,B26:F26)</f>
        <v>422.27644454210593</v>
      </c>
      <c r="T26" s="8">
        <f t="shared" ref="T26:T29" si="23">S26/$T$19</f>
        <v>44.89033467009974</v>
      </c>
      <c r="U26" s="8">
        <f t="shared" ref="U26:U29" si="24">S26/W19</f>
        <v>93.617672293195881</v>
      </c>
      <c r="W26" s="1"/>
      <c r="X26" s="1"/>
    </row>
    <row r="27" spans="1:24" x14ac:dyDescent="0.35">
      <c r="A27">
        <f t="shared" si="22"/>
        <v>4.0858768276145545</v>
      </c>
      <c r="B27">
        <f t="shared" si="21"/>
        <v>3.6000484764080491</v>
      </c>
      <c r="C27">
        <f t="shared" si="21"/>
        <v>3.1719872084481113</v>
      </c>
      <c r="D27">
        <f t="shared" si="21"/>
        <v>2.7948242687546565</v>
      </c>
      <c r="E27">
        <f t="shared" si="21"/>
        <v>2.462507626895992</v>
      </c>
      <c r="F27">
        <f t="shared" si="21"/>
        <v>2.1697048649226729</v>
      </c>
      <c r="H27">
        <v>2.5000000000000001E-2</v>
      </c>
      <c r="R27">
        <f>H27</f>
        <v>2.5000000000000001E-2</v>
      </c>
      <c r="S27" s="8">
        <f>SUMPRODUCT($T$12:$X$12,B27:F27)</f>
        <v>467.17965270433126</v>
      </c>
      <c r="T27" s="8">
        <f t="shared" si="23"/>
        <v>49.663795440210158</v>
      </c>
      <c r="U27" s="8">
        <f t="shared" si="24"/>
        <v>91.811186333603061</v>
      </c>
      <c r="W27" s="7"/>
      <c r="X27" s="7"/>
    </row>
    <row r="28" spans="1:24" x14ac:dyDescent="0.35">
      <c r="A28">
        <f t="shared" si="22"/>
        <v>4.2555515057102093</v>
      </c>
      <c r="B28">
        <f t="shared" si="21"/>
        <v>3.8466815078650116</v>
      </c>
      <c r="C28">
        <f t="shared" si="21"/>
        <v>3.4770954136251664</v>
      </c>
      <c r="D28">
        <f t="shared" si="21"/>
        <v>3.1430188568336854</v>
      </c>
      <c r="E28">
        <f t="shared" si="21"/>
        <v>2.8410401094265296</v>
      </c>
      <c r="F28">
        <f t="shared" si="21"/>
        <v>2.5680752394535875</v>
      </c>
      <c r="H28">
        <v>0.02</v>
      </c>
      <c r="R28">
        <f>H28</f>
        <v>0.02</v>
      </c>
      <c r="S28" s="8">
        <f>SUMPRODUCT($T$12:$X$12,B28:F28)</f>
        <v>517.18440580175638</v>
      </c>
      <c r="T28" s="8">
        <f t="shared" si="23"/>
        <v>54.979578810682519</v>
      </c>
      <c r="U28" s="8">
        <f t="shared" si="24"/>
        <v>90.046499102304324</v>
      </c>
      <c r="V28" s="1"/>
      <c r="W28" s="7"/>
      <c r="X28" s="7"/>
    </row>
    <row r="29" spans="1:24" x14ac:dyDescent="0.35">
      <c r="A29">
        <f t="shared" si="22"/>
        <v>4.4315846136589787</v>
      </c>
      <c r="B29">
        <f t="shared" si="21"/>
        <v>4.1090383854141983</v>
      </c>
      <c r="C29">
        <f t="shared" si="21"/>
        <v>3.8099681998098474</v>
      </c>
      <c r="D29">
        <f t="shared" si="21"/>
        <v>3.5326653883519437</v>
      </c>
      <c r="E29">
        <f t="shared" si="21"/>
        <v>3.2755456454157912</v>
      </c>
      <c r="F29">
        <f t="shared" si="21"/>
        <v>3.0371399766813836</v>
      </c>
      <c r="H29">
        <v>1.4999999999999999E-2</v>
      </c>
      <c r="R29">
        <f>H29</f>
        <v>1.4999999999999999E-2</v>
      </c>
      <c r="S29" s="8">
        <f>SUMPRODUCT($T$12:$X$12,B29:F29)</f>
        <v>572.91048015081333</v>
      </c>
      <c r="T29" s="8">
        <f t="shared" si="23"/>
        <v>60.903570451022738</v>
      </c>
      <c r="U29" s="8">
        <f t="shared" si="24"/>
        <v>88.324779313231517</v>
      </c>
      <c r="V29" s="7"/>
    </row>
    <row r="30" spans="1:24" x14ac:dyDescent="0.35">
      <c r="T30" s="7"/>
      <c r="U30" s="7"/>
      <c r="V30" s="7"/>
    </row>
    <row r="35" spans="1:16" x14ac:dyDescent="0.35">
      <c r="A35" t="s">
        <v>56</v>
      </c>
    </row>
    <row r="37" spans="1:16" x14ac:dyDescent="0.35">
      <c r="A37" t="s">
        <v>57</v>
      </c>
      <c r="J37" t="s">
        <v>63</v>
      </c>
    </row>
    <row r="38" spans="1:16" x14ac:dyDescent="0.35">
      <c r="B38">
        <v>2020</v>
      </c>
      <c r="C38">
        <v>2025</v>
      </c>
      <c r="D38">
        <v>2030</v>
      </c>
      <c r="E38">
        <v>2035</v>
      </c>
      <c r="F38">
        <v>2040</v>
      </c>
      <c r="G38">
        <v>2045</v>
      </c>
      <c r="H38">
        <v>2050</v>
      </c>
      <c r="K38">
        <v>2025</v>
      </c>
      <c r="L38">
        <v>2030</v>
      </c>
      <c r="M38">
        <v>2035</v>
      </c>
      <c r="N38">
        <v>2040</v>
      </c>
      <c r="O38">
        <v>2045</v>
      </c>
      <c r="P38">
        <v>2050</v>
      </c>
    </row>
    <row r="39" spans="1:16" x14ac:dyDescent="0.35">
      <c r="A39" t="s">
        <v>58</v>
      </c>
      <c r="B39" s="7">
        <v>35.971812853967748</v>
      </c>
      <c r="C39" s="7">
        <v>58.919162276186462</v>
      </c>
      <c r="D39" s="7">
        <v>70.120254517859848</v>
      </c>
      <c r="E39" s="7">
        <v>44.867345358503506</v>
      </c>
      <c r="F39" s="7">
        <v>41.860062468555434</v>
      </c>
      <c r="G39" s="7">
        <v>104.09266061201306</v>
      </c>
      <c r="H39" s="7">
        <v>33.669048120109458</v>
      </c>
      <c r="J39" t="str">
        <f>A39</f>
        <v>Investment</v>
      </c>
      <c r="K39" s="7">
        <v>59.60965918220797</v>
      </c>
      <c r="L39" s="7">
        <v>30.186691923075376</v>
      </c>
      <c r="M39" s="7">
        <v>17.052895461259034</v>
      </c>
      <c r="N39" s="7">
        <v>22.867635366348072</v>
      </c>
      <c r="O39" s="7">
        <v>29.859218388520258</v>
      </c>
      <c r="P39" s="7">
        <v>17.178341778335106</v>
      </c>
    </row>
    <row r="40" spans="1:16" x14ac:dyDescent="0.35">
      <c r="A40" t="s">
        <v>59</v>
      </c>
      <c r="B40" s="7">
        <v>51.588969340354893</v>
      </c>
      <c r="C40" s="7">
        <v>61.560440762261159</v>
      </c>
      <c r="D40" s="7">
        <v>53.801144075597399</v>
      </c>
      <c r="E40" s="7">
        <v>47.986448185469314</v>
      </c>
      <c r="F40" s="7">
        <v>48.05138581262122</v>
      </c>
      <c r="G40" s="7">
        <v>36.276472074280093</v>
      </c>
      <c r="H40" s="7">
        <v>37.510932044228376</v>
      </c>
      <c r="J40" t="str">
        <f t="shared" ref="J40:J43" si="25">A40</f>
        <v>Fuel</v>
      </c>
      <c r="K40" s="7">
        <v>60.329246915836009</v>
      </c>
      <c r="L40" s="7">
        <v>58.614797290784431</v>
      </c>
      <c r="M40" s="7">
        <v>61.791920769334304</v>
      </c>
      <c r="N40" s="7">
        <v>68.104389752050935</v>
      </c>
      <c r="O40" s="7">
        <v>71.1678796561459</v>
      </c>
      <c r="P40" s="7">
        <v>74.579342850319733</v>
      </c>
    </row>
    <row r="41" spans="1:16" x14ac:dyDescent="0.35">
      <c r="A41" t="s">
        <v>60</v>
      </c>
      <c r="B41" s="7">
        <v>8.1888587017983632</v>
      </c>
      <c r="C41" s="7">
        <v>7.7720619618978164</v>
      </c>
      <c r="D41" s="7">
        <v>8.4438626241848844</v>
      </c>
      <c r="E41" s="7">
        <v>7.7584702478852163</v>
      </c>
      <c r="F41" s="7">
        <v>7.9429114749023535</v>
      </c>
      <c r="G41" s="7">
        <v>6.002083275584619</v>
      </c>
      <c r="H41" s="7">
        <v>6.1702711213423074</v>
      </c>
      <c r="J41" t="str">
        <f t="shared" si="25"/>
        <v>VOM</v>
      </c>
      <c r="K41" s="7">
        <v>7.5686490651258724</v>
      </c>
      <c r="L41" s="7">
        <v>8.0961087037427983</v>
      </c>
      <c r="M41" s="7">
        <v>9.0502911617096853</v>
      </c>
      <c r="N41" s="7">
        <v>10.559020523804184</v>
      </c>
      <c r="O41" s="7">
        <v>12.938349572500067</v>
      </c>
      <c r="P41" s="7">
        <v>13.987417930550517</v>
      </c>
    </row>
    <row r="42" spans="1:16" x14ac:dyDescent="0.35">
      <c r="A42" t="s">
        <v>61</v>
      </c>
      <c r="B42" s="7">
        <v>62.776803620055951</v>
      </c>
      <c r="C42" s="7">
        <v>62.565065631698623</v>
      </c>
      <c r="D42" s="7">
        <v>66.522161286964462</v>
      </c>
      <c r="E42" s="7">
        <v>67.446806330308604</v>
      </c>
      <c r="F42" s="7">
        <v>67.525426879258788</v>
      </c>
      <c r="G42" s="7">
        <v>64.001229379338156</v>
      </c>
      <c r="H42" s="7">
        <v>61.759332970535517</v>
      </c>
      <c r="J42" t="str">
        <f t="shared" si="25"/>
        <v>FOM</v>
      </c>
      <c r="K42" s="7">
        <v>61.653980438018365</v>
      </c>
      <c r="L42" s="7">
        <v>61.574404726188313</v>
      </c>
      <c r="M42" s="7">
        <v>61.53308601844968</v>
      </c>
      <c r="N42" s="7">
        <v>60.427370214228532</v>
      </c>
      <c r="O42" s="7">
        <v>55.784338626802409</v>
      </c>
      <c r="P42" s="7">
        <v>54.269671124744185</v>
      </c>
    </row>
    <row r="43" spans="1:16" x14ac:dyDescent="0.35">
      <c r="A43" t="s">
        <v>62</v>
      </c>
      <c r="B43" s="7">
        <v>2.0704762007511981</v>
      </c>
      <c r="C43" s="7">
        <v>2.7893636983587111</v>
      </c>
      <c r="D43" s="7">
        <v>3.1206557451506134</v>
      </c>
      <c r="E43" s="7">
        <v>2.2234230717191785</v>
      </c>
      <c r="F43" s="7">
        <v>2.5814664759440329</v>
      </c>
      <c r="G43" s="7">
        <v>3.2111932242975345</v>
      </c>
      <c r="H43" s="7">
        <v>3.1280036231671753</v>
      </c>
      <c r="J43" t="str">
        <f t="shared" si="25"/>
        <v>Other</v>
      </c>
      <c r="K43" s="7">
        <v>2.6919933004648771</v>
      </c>
      <c r="L43" s="7">
        <v>2.5472224280824092</v>
      </c>
      <c r="M43" s="7">
        <v>1.8694359953030082</v>
      </c>
      <c r="N43" s="7">
        <v>2.1179527404953382</v>
      </c>
      <c r="O43" s="7">
        <v>1.6729645370884767</v>
      </c>
      <c r="P43" s="7">
        <v>1.5718315605150552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Economy - IRA</vt:lpstr>
      <vt:lpstr>Economy - No IRA</vt:lpstr>
      <vt:lpstr>Tax Credit Figure</vt:lpstr>
      <vt:lpstr>Tax Credit Figure (Nominal)</vt:lpstr>
      <vt:lpstr>Tax Credit Figure (Low)</vt:lpstr>
      <vt:lpstr>Tax Credit Figure (High)</vt:lpstr>
      <vt:lpstr>Tax Cred Summary</vt:lpstr>
      <vt:lpstr>Power - Tax Credits</vt:lpstr>
      <vt:lpstr>Power - Decomp</vt:lpstr>
      <vt:lpstr>Power - Decomp (Low)</vt:lpstr>
      <vt:lpstr>Power - Decomp (High)</vt:lpstr>
      <vt:lpstr>HH - Buildings</vt:lpstr>
      <vt:lpstr>HH - Vehicles</vt:lpstr>
      <vt:lpstr>GDPDEF_Annual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Bistline, John</cp:lastModifiedBy>
  <dcterms:created xsi:type="dcterms:W3CDTF">2015-06-05T18:17:20Z</dcterms:created>
  <dcterms:modified xsi:type="dcterms:W3CDTF">2023-04-13T20:33:03Z</dcterms:modified>
</cp:coreProperties>
</file>